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IMA\PI-2025-009\Working Files\Research\Questionnaires\For Web\"/>
    </mc:Choice>
  </mc:AlternateContent>
  <xr:revisionPtr revIDLastSave="0" documentId="13_ncr:1_{7CAB4111-22E6-440C-A3A5-A1BCFFA3129D}" xr6:coauthVersionLast="47" xr6:coauthVersionMax="47" xr10:uidLastSave="{00000000-0000-0000-0000-000000000000}"/>
  <workbookProtection workbookAlgorithmName="SHA-512" workbookHashValue="hfhUUB8dtuBBIop4o/YRk9nJ1xqy/c9va3qIg0/rX6SI2lpWGWLC1EG24649bMv2hXsxZi0jj+iDQH0b95RESA==" workbookSaltValue="/jGQcxnJrOKTXqm02EbnHg==" workbookSpinCount="100000" lockStructure="1"/>
  <bookViews>
    <workbookView xWindow="-120" yWindow="-120" windowWidth="29040" windowHeight="15720" tabRatio="907" firstSheet="1" activeTab="1" xr2:uid="{C5891CD3-0E1B-4A35-B74B-8A6F66005F71}"/>
  </bookViews>
  <sheets>
    <sheet name="Variables" sheetId="80" state="hidden" r:id="rId1"/>
    <sheet name="Intro" sheetId="81" r:id="rId2"/>
    <sheet name="Info" sheetId="82" r:id="rId3"/>
    <sheet name="Public" sheetId="83" r:id="rId4"/>
    <sheet name="AddPub" sheetId="84" r:id="rId5"/>
    <sheet name="Pro" sheetId="86" r:id="rId6"/>
    <sheet name="Begin" sheetId="93" state="hidden" r:id="rId7"/>
    <sheet name="Imp-Aus" sheetId="91" r:id="rId8"/>
    <sheet name="Imp-Aus2" sheetId="110" r:id="rId9"/>
    <sheet name="Imp-Aus3" sheetId="111" r:id="rId10"/>
    <sheet name="End" sheetId="94" state="hidden" r:id="rId11"/>
    <sheet name="Imp-Mex" sheetId="109" r:id="rId12"/>
    <sheet name="Imp-US" sheetId="105" r:id="rId13"/>
    <sheet name="Imp-Other -Autre" sheetId="106" r:id="rId14"/>
    <sheet name="Other Measures|Autre Mesures" sheetId="107" r:id="rId15"/>
    <sheet name="End2" sheetId="104" state="hidden" r:id="rId16"/>
    <sheet name="Invent-Stock" sheetId="92" r:id="rId17"/>
    <sheet name="AddPro" sheetId="89" r:id="rId18"/>
    <sheet name="Confirm" sheetId="90" r:id="rId19"/>
    <sheet name="MiniDB1" sheetId="112" state="hidden" r:id="rId20"/>
    <sheet name="MiniDB2" sheetId="113" state="hidden" r:id="rId21"/>
    <sheet name="QualDB" sheetId="114" state="hidden" r:id="rId22"/>
    <sheet name="m" sheetId="108" state="hidden" r:id="rId23"/>
  </sheet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 localSheetId="19">Variables!#REF!</definedName>
    <definedName name="POR">#REF!</definedName>
    <definedName name="PORa">Variables!#REF!</definedName>
    <definedName name="PORDB">Variables!#REF!</definedName>
    <definedName name="PORL">#REF!</definedName>
    <definedName name="PORT">Variables!#REF!</definedName>
    <definedName name="PORX">#REF!</definedName>
    <definedName name="ppc">#REF!</definedName>
    <definedName name="_xlnm.Print_Area" localSheetId="17">AddPro!$B$1:$L$62</definedName>
    <definedName name="_xlnm.Print_Area" localSheetId="4">AddPub!$B$1:$L$62</definedName>
    <definedName name="_xlnm.Print_Area" localSheetId="18">Confirm!$B$1:$L$54</definedName>
    <definedName name="_xlnm.Print_Area" localSheetId="7">'Imp-Aus'!$B$1:$L$270</definedName>
    <definedName name="_xlnm.Print_Area" localSheetId="8">'Imp-Aus2'!$B$1:$L$270</definedName>
    <definedName name="_xlnm.Print_Area" localSheetId="9">'Imp-Aus3'!$B$1:$L$270</definedName>
    <definedName name="_xlnm.Print_Area" localSheetId="11">'Imp-Mex'!$B$1:$L$270</definedName>
    <definedName name="_xlnm.Print_Area" localSheetId="13">'Imp-Other -Autre'!$B$1:$L$268</definedName>
    <definedName name="_xlnm.Print_Area" localSheetId="12">'Imp-US'!$B$1:$L$270</definedName>
    <definedName name="_xlnm.Print_Area" localSheetId="2">Info!$B$1:$L$52</definedName>
    <definedName name="_xlnm.Print_Area" localSheetId="1">Intro!$B$1:$L$122</definedName>
    <definedName name="_xlnm.Print_Area" localSheetId="16">'Invent-Stock'!$B$1:$L$98</definedName>
    <definedName name="_xlnm.Print_Area" localSheetId="22">m!$B$1:$L$243</definedName>
    <definedName name="_xlnm.Print_Area" localSheetId="14">'Other Measures|Autre Mesures'!$B$1:$L$270</definedName>
    <definedName name="_xlnm.Print_Area" localSheetId="5">Pro!$B$1:$L$153</definedName>
    <definedName name="_xlnm.Print_Area" localSheetId="3">Public!$B$1:$L$392</definedName>
    <definedName name="_xlnm.Print_Titles" localSheetId="17">AddPro!$1:$7</definedName>
    <definedName name="_xlnm.Print_Titles" localSheetId="4">AddPub!$1:$7</definedName>
    <definedName name="_xlnm.Print_Titles" localSheetId="18">Confirm!$1:$7</definedName>
    <definedName name="_xlnm.Print_Titles" localSheetId="7">'Imp-Aus'!$1:$7</definedName>
    <definedName name="_xlnm.Print_Titles" localSheetId="8">'Imp-Aus2'!$1:$7</definedName>
    <definedName name="_xlnm.Print_Titles" localSheetId="9">'Imp-Aus3'!$1:$7</definedName>
    <definedName name="_xlnm.Print_Titles" localSheetId="11">'Imp-Mex'!$1:$7</definedName>
    <definedName name="_xlnm.Print_Titles" localSheetId="13">'Imp-Other -Autre'!$1:$7</definedName>
    <definedName name="_xlnm.Print_Titles" localSheetId="12">'Imp-US'!$1:$7</definedName>
    <definedName name="_xlnm.Print_Titles" localSheetId="2">Info!$1:$7</definedName>
    <definedName name="_xlnm.Print_Titles" localSheetId="1">Intro!$1:$7</definedName>
    <definedName name="_xlnm.Print_Titles" localSheetId="16">'Invent-Stock'!$1:$7</definedName>
    <definedName name="_xlnm.Print_Titles" localSheetId="22">m!$1:$7</definedName>
    <definedName name="_xlnm.Print_Titles" localSheetId="14">'Other Measures|Autre Mesures'!$1:$7</definedName>
    <definedName name="_xlnm.Print_Titles" localSheetId="5">Pro!$1:$7</definedName>
    <definedName name="_xlnm.Print_Titles" localSheetId="3">Public!$1:$7</definedName>
    <definedName name="quest8" localSheetId="17">AddPro!#REF!</definedName>
    <definedName name="quest8" localSheetId="4">AddPub!#REF!</definedName>
    <definedName name="quest8" localSheetId="18">Confirm!#REF!</definedName>
    <definedName name="quest8" localSheetId="7">'Imp-Aus'!#REF!</definedName>
    <definedName name="quest8" localSheetId="8">'Imp-Aus2'!#REF!</definedName>
    <definedName name="quest8" localSheetId="9">'Imp-Aus3'!#REF!</definedName>
    <definedName name="quest8" localSheetId="11">'Imp-Mex'!#REF!</definedName>
    <definedName name="quest8" localSheetId="13">'Imp-Other -Autre'!#REF!</definedName>
    <definedName name="quest8" localSheetId="12">'Imp-US'!#REF!</definedName>
    <definedName name="quest8" localSheetId="2">Info!#REF!</definedName>
    <definedName name="quest8" localSheetId="1">Intro!#REF!</definedName>
    <definedName name="quest8" localSheetId="16">'Invent-Stock'!#REF!</definedName>
    <definedName name="quest8" localSheetId="22">m!#REF!</definedName>
    <definedName name="quest8" localSheetId="14">'Other Measures|Autre Mesures'!#REF!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6" i="91" l="1"/>
  <c r="B187" i="91" s="1"/>
  <c r="D64" i="114"/>
  <c r="C64" i="114"/>
  <c r="D63" i="114"/>
  <c r="C63" i="114"/>
  <c r="D62" i="114"/>
  <c r="C62" i="114"/>
  <c r="D61" i="114"/>
  <c r="C61" i="114"/>
  <c r="D60" i="114"/>
  <c r="C60" i="114"/>
  <c r="D40" i="114"/>
  <c r="C40" i="114"/>
  <c r="D39" i="114"/>
  <c r="C39" i="114"/>
  <c r="D38" i="114"/>
  <c r="C38" i="114"/>
  <c r="D37" i="114"/>
  <c r="C37" i="114"/>
  <c r="D36" i="114"/>
  <c r="C36" i="114"/>
  <c r="A2" i="114"/>
  <c r="D53" i="114"/>
  <c r="D52" i="114"/>
  <c r="D51" i="114"/>
  <c r="D50" i="114"/>
  <c r="D49" i="114"/>
  <c r="D48" i="114"/>
  <c r="D47" i="114"/>
  <c r="D46" i="114"/>
  <c r="D45" i="114"/>
  <c r="D44" i="114"/>
  <c r="D43" i="114"/>
  <c r="D42" i="114"/>
  <c r="E167" i="113"/>
  <c r="E172" i="113" s="1"/>
  <c r="E177" i="113" s="1"/>
  <c r="E182" i="113" s="1"/>
  <c r="E187" i="113" s="1"/>
  <c r="E192" i="113" s="1"/>
  <c r="E197" i="113" s="1"/>
  <c r="E166" i="113"/>
  <c r="E171" i="113" s="1"/>
  <c r="E176" i="113" s="1"/>
  <c r="E181" i="113" s="1"/>
  <c r="E186" i="113" s="1"/>
  <c r="E191" i="113" s="1"/>
  <c r="E196" i="113" s="1"/>
  <c r="E165" i="113"/>
  <c r="E170" i="113" s="1"/>
  <c r="E175" i="113" s="1"/>
  <c r="E180" i="113" s="1"/>
  <c r="E185" i="113" s="1"/>
  <c r="E190" i="113" s="1"/>
  <c r="E195" i="113" s="1"/>
  <c r="E164" i="113"/>
  <c r="E163" i="113"/>
  <c r="O7" i="113"/>
  <c r="N7" i="113"/>
  <c r="M7" i="113"/>
  <c r="L7" i="113"/>
  <c r="K7" i="113"/>
  <c r="O6" i="113"/>
  <c r="N6" i="113"/>
  <c r="M6" i="113"/>
  <c r="L6" i="113"/>
  <c r="K6" i="113"/>
  <c r="O5" i="113"/>
  <c r="N5" i="113"/>
  <c r="M5" i="113"/>
  <c r="L5" i="113"/>
  <c r="K5" i="113"/>
  <c r="O4" i="113"/>
  <c r="N4" i="113"/>
  <c r="M4" i="113"/>
  <c r="L4" i="113"/>
  <c r="K4" i="113"/>
  <c r="F4" i="113" s="1"/>
  <c r="O3" i="113"/>
  <c r="J3" i="113" s="1"/>
  <c r="N3" i="113"/>
  <c r="M3" i="113"/>
  <c r="L3" i="113"/>
  <c r="K3" i="113"/>
  <c r="O2" i="113"/>
  <c r="N2" i="113"/>
  <c r="M2" i="113"/>
  <c r="L2" i="113"/>
  <c r="K2" i="113"/>
  <c r="H1" i="113"/>
  <c r="M1" i="113" s="1"/>
  <c r="G1" i="113"/>
  <c r="L1" i="113" s="1"/>
  <c r="F1" i="113"/>
  <c r="D58" i="114"/>
  <c r="D57" i="114"/>
  <c r="D56" i="114"/>
  <c r="D55" i="114"/>
  <c r="O80" i="112"/>
  <c r="N80" i="112"/>
  <c r="M80" i="112"/>
  <c r="R80" i="112" s="1"/>
  <c r="L80" i="112"/>
  <c r="K80" i="112"/>
  <c r="P80" i="112" s="1"/>
  <c r="J80" i="112"/>
  <c r="I80" i="112"/>
  <c r="H80" i="112"/>
  <c r="G80" i="112"/>
  <c r="F80" i="112"/>
  <c r="U199" i="113"/>
  <c r="T199" i="113"/>
  <c r="S199" i="113"/>
  <c r="R199" i="113"/>
  <c r="Q199" i="113"/>
  <c r="P199" i="113"/>
  <c r="O199" i="113"/>
  <c r="N199" i="113"/>
  <c r="M199" i="113"/>
  <c r="L199" i="113"/>
  <c r="K199" i="113"/>
  <c r="J199" i="113"/>
  <c r="I199" i="113"/>
  <c r="H199" i="113"/>
  <c r="G199" i="113"/>
  <c r="F199" i="113"/>
  <c r="U157" i="113"/>
  <c r="T157" i="113"/>
  <c r="S157" i="113"/>
  <c r="R157" i="113"/>
  <c r="Q157" i="113"/>
  <c r="P157" i="113"/>
  <c r="O157" i="113"/>
  <c r="N157" i="113"/>
  <c r="M157" i="113"/>
  <c r="L157" i="113"/>
  <c r="K157" i="113"/>
  <c r="J157" i="113"/>
  <c r="I157" i="113"/>
  <c r="H157" i="113"/>
  <c r="G157" i="113"/>
  <c r="F157" i="113"/>
  <c r="U156" i="113"/>
  <c r="T156" i="113"/>
  <c r="S156" i="113"/>
  <c r="R156" i="113"/>
  <c r="Q156" i="113"/>
  <c r="P156" i="113"/>
  <c r="O156" i="113"/>
  <c r="N156" i="113"/>
  <c r="M156" i="113"/>
  <c r="L156" i="113"/>
  <c r="K156" i="113"/>
  <c r="J156" i="113"/>
  <c r="I156" i="113"/>
  <c r="H156" i="113"/>
  <c r="G156" i="113"/>
  <c r="F156" i="113"/>
  <c r="J9" i="113"/>
  <c r="I9" i="113"/>
  <c r="H9" i="113"/>
  <c r="G9" i="113"/>
  <c r="F9" i="113"/>
  <c r="F10" i="113" s="1"/>
  <c r="J8" i="113"/>
  <c r="J7" i="113" s="1"/>
  <c r="I8" i="113"/>
  <c r="H8" i="113"/>
  <c r="G8" i="113"/>
  <c r="G10" i="113" s="1"/>
  <c r="F8" i="113"/>
  <c r="P90" i="112"/>
  <c r="O90" i="112"/>
  <c r="N90" i="112"/>
  <c r="M90" i="112"/>
  <c r="L90" i="112"/>
  <c r="J90" i="112"/>
  <c r="I90" i="112"/>
  <c r="H90" i="112"/>
  <c r="G90" i="112"/>
  <c r="F90" i="112"/>
  <c r="P87" i="112"/>
  <c r="O87" i="112"/>
  <c r="N87" i="112"/>
  <c r="M87" i="112"/>
  <c r="L87" i="112"/>
  <c r="J87" i="112"/>
  <c r="I87" i="112"/>
  <c r="H87" i="112"/>
  <c r="G87" i="112"/>
  <c r="F87" i="112"/>
  <c r="Q84" i="112"/>
  <c r="P84" i="112"/>
  <c r="O84" i="112"/>
  <c r="N84" i="112"/>
  <c r="M84" i="112"/>
  <c r="L84" i="112"/>
  <c r="K84" i="112"/>
  <c r="J84" i="112"/>
  <c r="I84" i="112"/>
  <c r="H84" i="112"/>
  <c r="G84" i="112"/>
  <c r="F84" i="112"/>
  <c r="U74" i="112"/>
  <c r="T74" i="112"/>
  <c r="S74" i="112"/>
  <c r="R74" i="112"/>
  <c r="Q74" i="112"/>
  <c r="P74" i="112"/>
  <c r="O74" i="112"/>
  <c r="N74" i="112"/>
  <c r="M74" i="112"/>
  <c r="L74" i="112"/>
  <c r="K74" i="112"/>
  <c r="J74" i="112"/>
  <c r="I74" i="112"/>
  <c r="H74" i="112"/>
  <c r="G74" i="112"/>
  <c r="F74" i="112"/>
  <c r="U197" i="113"/>
  <c r="T197" i="113"/>
  <c r="S197" i="113"/>
  <c r="R197" i="113"/>
  <c r="Q197" i="113"/>
  <c r="P197" i="113"/>
  <c r="X197" i="113" s="1"/>
  <c r="O197" i="113"/>
  <c r="W197" i="113" s="1"/>
  <c r="N197" i="113"/>
  <c r="M197" i="113"/>
  <c r="AC197" i="113" s="1"/>
  <c r="L197" i="113"/>
  <c r="K197" i="113"/>
  <c r="J197" i="113"/>
  <c r="I197" i="113"/>
  <c r="H197" i="113"/>
  <c r="G197" i="113"/>
  <c r="F197" i="113"/>
  <c r="U196" i="113"/>
  <c r="AC196" i="113" s="1"/>
  <c r="T196" i="113"/>
  <c r="S196" i="113"/>
  <c r="AA196" i="113" s="1"/>
  <c r="R196" i="113"/>
  <c r="Q196" i="113"/>
  <c r="P196" i="113"/>
  <c r="X196" i="113" s="1"/>
  <c r="O196" i="113"/>
  <c r="W196" i="113" s="1"/>
  <c r="N196" i="113"/>
  <c r="M196" i="113"/>
  <c r="L196" i="113"/>
  <c r="K196" i="113"/>
  <c r="J196" i="113"/>
  <c r="I196" i="113"/>
  <c r="H196" i="113"/>
  <c r="G196" i="113"/>
  <c r="F196" i="113"/>
  <c r="V196" i="113" s="1"/>
  <c r="U195" i="113"/>
  <c r="T195" i="113"/>
  <c r="AB195" i="113" s="1"/>
  <c r="S195" i="113"/>
  <c r="AA195" i="113" s="1"/>
  <c r="R195" i="113"/>
  <c r="Q195" i="113"/>
  <c r="P195" i="113"/>
  <c r="O195" i="113"/>
  <c r="N195" i="113"/>
  <c r="M195" i="113"/>
  <c r="L195" i="113"/>
  <c r="K195" i="113"/>
  <c r="J195" i="113"/>
  <c r="Z195" i="113" s="1"/>
  <c r="I195" i="113"/>
  <c r="Y195" i="113" s="1"/>
  <c r="H195" i="113"/>
  <c r="X195" i="113" s="1"/>
  <c r="G195" i="113"/>
  <c r="W195" i="113" s="1"/>
  <c r="F195" i="113"/>
  <c r="U194" i="113"/>
  <c r="T194" i="113"/>
  <c r="S194" i="113"/>
  <c r="R194" i="113"/>
  <c r="Z194" i="113" s="1"/>
  <c r="Q194" i="113"/>
  <c r="P194" i="113"/>
  <c r="O194" i="113"/>
  <c r="N194" i="113"/>
  <c r="M194" i="113"/>
  <c r="AC194" i="113" s="1"/>
  <c r="L194" i="113"/>
  <c r="K194" i="113"/>
  <c r="J194" i="113"/>
  <c r="I194" i="113"/>
  <c r="H194" i="113"/>
  <c r="G194" i="113"/>
  <c r="F194" i="113"/>
  <c r="U193" i="113"/>
  <c r="AC193" i="113" s="1"/>
  <c r="T193" i="113"/>
  <c r="AB193" i="113" s="1"/>
  <c r="S193" i="113"/>
  <c r="AA193" i="113" s="1"/>
  <c r="R193" i="113"/>
  <c r="Q193" i="113"/>
  <c r="P193" i="113"/>
  <c r="X193" i="113" s="1"/>
  <c r="O193" i="113"/>
  <c r="W193" i="113" s="1"/>
  <c r="N193" i="113"/>
  <c r="M193" i="113"/>
  <c r="L193" i="113"/>
  <c r="K193" i="113"/>
  <c r="J193" i="113"/>
  <c r="I193" i="113"/>
  <c r="H193" i="113"/>
  <c r="G193" i="113"/>
  <c r="F193" i="113"/>
  <c r="U153" i="113"/>
  <c r="AC153" i="113" s="1"/>
  <c r="T153" i="113"/>
  <c r="AB153" i="113" s="1"/>
  <c r="S153" i="113"/>
  <c r="AA153" i="113" s="1"/>
  <c r="R153" i="113"/>
  <c r="Q153" i="113"/>
  <c r="P153" i="113"/>
  <c r="O153" i="113"/>
  <c r="N153" i="113"/>
  <c r="M153" i="113"/>
  <c r="L153" i="113"/>
  <c r="K153" i="113"/>
  <c r="J153" i="113"/>
  <c r="Z153" i="113" s="1"/>
  <c r="I153" i="113"/>
  <c r="H153" i="113"/>
  <c r="X153" i="113" s="1"/>
  <c r="G153" i="113"/>
  <c r="W153" i="113" s="1"/>
  <c r="F153" i="113"/>
  <c r="U152" i="113"/>
  <c r="T152" i="113"/>
  <c r="S152" i="113"/>
  <c r="R152" i="113"/>
  <c r="Q152" i="113"/>
  <c r="Y152" i="113" s="1"/>
  <c r="P152" i="113"/>
  <c r="X152" i="113" s="1"/>
  <c r="O152" i="113"/>
  <c r="W152" i="113" s="1"/>
  <c r="N152" i="113"/>
  <c r="M152" i="113"/>
  <c r="L152" i="113"/>
  <c r="AB152" i="113" s="1"/>
  <c r="K152" i="113"/>
  <c r="AA152" i="113" s="1"/>
  <c r="J152" i="113"/>
  <c r="I152" i="113"/>
  <c r="H152" i="113"/>
  <c r="G152" i="113"/>
  <c r="F152" i="113"/>
  <c r="U151" i="113"/>
  <c r="AC151" i="113" s="1"/>
  <c r="T151" i="113"/>
  <c r="S151" i="113"/>
  <c r="AA151" i="113" s="1"/>
  <c r="R151" i="113"/>
  <c r="Q151" i="113"/>
  <c r="P151" i="113"/>
  <c r="X151" i="113" s="1"/>
  <c r="O151" i="113"/>
  <c r="N151" i="113"/>
  <c r="M151" i="113"/>
  <c r="L151" i="113"/>
  <c r="K151" i="113"/>
  <c r="J151" i="113"/>
  <c r="I151" i="113"/>
  <c r="H151" i="113"/>
  <c r="G151" i="113"/>
  <c r="F151" i="113"/>
  <c r="U150" i="113"/>
  <c r="T150" i="113"/>
  <c r="AB150" i="113" s="1"/>
  <c r="S150" i="113"/>
  <c r="AA150" i="113" s="1"/>
  <c r="R150" i="113"/>
  <c r="Q150" i="113"/>
  <c r="P150" i="113"/>
  <c r="O150" i="113"/>
  <c r="N150" i="113"/>
  <c r="V150" i="113" s="1"/>
  <c r="M150" i="113"/>
  <c r="L150" i="113"/>
  <c r="K150" i="113"/>
  <c r="J150" i="113"/>
  <c r="Z150" i="113" s="1"/>
  <c r="I150" i="113"/>
  <c r="H150" i="113"/>
  <c r="X150" i="113" s="1"/>
  <c r="G150" i="113"/>
  <c r="W150" i="113" s="1"/>
  <c r="F150" i="113"/>
  <c r="U149" i="113"/>
  <c r="T149" i="113"/>
  <c r="S149" i="113"/>
  <c r="R149" i="113"/>
  <c r="Z149" i="113" s="1"/>
  <c r="Q149" i="113"/>
  <c r="Y149" i="113" s="1"/>
  <c r="P149" i="113"/>
  <c r="X149" i="113" s="1"/>
  <c r="O149" i="113"/>
  <c r="W149" i="113" s="1"/>
  <c r="N149" i="113"/>
  <c r="M149" i="113"/>
  <c r="AC149" i="113" s="1"/>
  <c r="L149" i="113"/>
  <c r="AB149" i="113" s="1"/>
  <c r="K149" i="113"/>
  <c r="J149" i="113"/>
  <c r="I149" i="113"/>
  <c r="H149" i="113"/>
  <c r="G149" i="113"/>
  <c r="F149" i="113"/>
  <c r="U148" i="113"/>
  <c r="AC148" i="113" s="1"/>
  <c r="T148" i="113"/>
  <c r="AB148" i="113" s="1"/>
  <c r="S148" i="113"/>
  <c r="AA148" i="113" s="1"/>
  <c r="R148" i="113"/>
  <c r="Q148" i="113"/>
  <c r="P148" i="113"/>
  <c r="X148" i="113" s="1"/>
  <c r="O148" i="113"/>
  <c r="W148" i="113" s="1"/>
  <c r="N148" i="113"/>
  <c r="M148" i="113"/>
  <c r="L148" i="113"/>
  <c r="K148" i="113"/>
  <c r="J148" i="113"/>
  <c r="Z148" i="113" s="1"/>
  <c r="I148" i="113"/>
  <c r="H148" i="113"/>
  <c r="G148" i="113"/>
  <c r="F148" i="113"/>
  <c r="V148" i="113" s="1"/>
  <c r="U147" i="113"/>
  <c r="T147" i="113"/>
  <c r="S147" i="113"/>
  <c r="AA147" i="113" s="1"/>
  <c r="R147" i="113"/>
  <c r="Q147" i="113"/>
  <c r="P147" i="113"/>
  <c r="O147" i="113"/>
  <c r="N147" i="113"/>
  <c r="M147" i="113"/>
  <c r="L147" i="113"/>
  <c r="K147" i="113"/>
  <c r="J147" i="113"/>
  <c r="I147" i="113"/>
  <c r="Y147" i="113" s="1"/>
  <c r="H147" i="113"/>
  <c r="X147" i="113" s="1"/>
  <c r="G147" i="113"/>
  <c r="F147" i="113"/>
  <c r="U146" i="113"/>
  <c r="T146" i="113"/>
  <c r="S146" i="113"/>
  <c r="R146" i="113"/>
  <c r="Q146" i="113"/>
  <c r="Y146" i="113" s="1"/>
  <c r="P146" i="113"/>
  <c r="O146" i="113"/>
  <c r="W146" i="113" s="1"/>
  <c r="N146" i="113"/>
  <c r="M146" i="113"/>
  <c r="AC146" i="113" s="1"/>
  <c r="L146" i="113"/>
  <c r="AB146" i="113" s="1"/>
  <c r="K146" i="113"/>
  <c r="AA146" i="113" s="1"/>
  <c r="J146" i="113"/>
  <c r="I146" i="113"/>
  <c r="H146" i="113"/>
  <c r="G146" i="113"/>
  <c r="F146" i="113"/>
  <c r="U145" i="113"/>
  <c r="T145" i="113"/>
  <c r="AB145" i="113" s="1"/>
  <c r="S145" i="113"/>
  <c r="R145" i="113"/>
  <c r="Q145" i="113"/>
  <c r="P145" i="113"/>
  <c r="X145" i="113" s="1"/>
  <c r="O145" i="113"/>
  <c r="W145" i="113" s="1"/>
  <c r="N145" i="113"/>
  <c r="M145" i="113"/>
  <c r="L145" i="113"/>
  <c r="K145" i="113"/>
  <c r="J145" i="113"/>
  <c r="I145" i="113"/>
  <c r="H145" i="113"/>
  <c r="G145" i="113"/>
  <c r="F145" i="113"/>
  <c r="U144" i="113"/>
  <c r="T144" i="113"/>
  <c r="AB144" i="113" s="1"/>
  <c r="S144" i="113"/>
  <c r="AA144" i="113" s="1"/>
  <c r="R144" i="113"/>
  <c r="Q144" i="113"/>
  <c r="P144" i="113"/>
  <c r="O144" i="113"/>
  <c r="N144" i="113"/>
  <c r="V144" i="113" s="1"/>
  <c r="M144" i="113"/>
  <c r="L144" i="113"/>
  <c r="K144" i="113"/>
  <c r="J144" i="113"/>
  <c r="Z144" i="113" s="1"/>
  <c r="I144" i="113"/>
  <c r="Y144" i="113" s="1"/>
  <c r="H144" i="113"/>
  <c r="X144" i="113" s="1"/>
  <c r="G144" i="113"/>
  <c r="W144" i="113" s="1"/>
  <c r="F144" i="113"/>
  <c r="U143" i="113"/>
  <c r="T143" i="113"/>
  <c r="S143" i="113"/>
  <c r="R143" i="113"/>
  <c r="Z143" i="113" s="1"/>
  <c r="Q143" i="113"/>
  <c r="Y143" i="113" s="1"/>
  <c r="P143" i="113"/>
  <c r="X143" i="113" s="1"/>
  <c r="O143" i="113"/>
  <c r="N143" i="113"/>
  <c r="M143" i="113"/>
  <c r="L143" i="113"/>
  <c r="K143" i="113"/>
  <c r="J143" i="113"/>
  <c r="I143" i="113"/>
  <c r="H143" i="113"/>
  <c r="G143" i="113"/>
  <c r="F143" i="113"/>
  <c r="U142" i="113"/>
  <c r="AC142" i="113" s="1"/>
  <c r="T142" i="113"/>
  <c r="AB142" i="113" s="1"/>
  <c r="S142" i="113"/>
  <c r="AA142" i="113" s="1"/>
  <c r="R142" i="113"/>
  <c r="Z142" i="113" s="1"/>
  <c r="Q142" i="113"/>
  <c r="P142" i="113"/>
  <c r="O142" i="113"/>
  <c r="W142" i="113" s="1"/>
  <c r="N142" i="113"/>
  <c r="M142" i="113"/>
  <c r="L142" i="113"/>
  <c r="K142" i="113"/>
  <c r="J142" i="113"/>
  <c r="I142" i="113"/>
  <c r="H142" i="113"/>
  <c r="G142" i="113"/>
  <c r="F142" i="113"/>
  <c r="V142" i="113" s="1"/>
  <c r="U141" i="113"/>
  <c r="AC141" i="113" s="1"/>
  <c r="T141" i="113"/>
  <c r="AB141" i="113" s="1"/>
  <c r="S141" i="113"/>
  <c r="R141" i="113"/>
  <c r="Q141" i="113"/>
  <c r="P141" i="113"/>
  <c r="O141" i="113"/>
  <c r="N141" i="113"/>
  <c r="M141" i="113"/>
  <c r="L141" i="113"/>
  <c r="K141" i="113"/>
  <c r="J141" i="113"/>
  <c r="I141" i="113"/>
  <c r="H141" i="113"/>
  <c r="X141" i="113" s="1"/>
  <c r="G141" i="113"/>
  <c r="F141" i="113"/>
  <c r="U140" i="113"/>
  <c r="T140" i="113"/>
  <c r="S140" i="113"/>
  <c r="R140" i="113"/>
  <c r="Q140" i="113"/>
  <c r="P140" i="113"/>
  <c r="X140" i="113" s="1"/>
  <c r="O140" i="113"/>
  <c r="W140" i="113" s="1"/>
  <c r="N140" i="113"/>
  <c r="M140" i="113"/>
  <c r="AC140" i="113" s="1"/>
  <c r="L140" i="113"/>
  <c r="AB140" i="113" s="1"/>
  <c r="K140" i="113"/>
  <c r="AA140" i="113" s="1"/>
  <c r="J140" i="113"/>
  <c r="I140" i="113"/>
  <c r="H140" i="113"/>
  <c r="G140" i="113"/>
  <c r="F140" i="113"/>
  <c r="U139" i="113"/>
  <c r="AC139" i="113" s="1"/>
  <c r="T139" i="113"/>
  <c r="S139" i="113"/>
  <c r="AA139" i="113" s="1"/>
  <c r="R139" i="113"/>
  <c r="Q139" i="113"/>
  <c r="P139" i="113"/>
  <c r="X139" i="113" s="1"/>
  <c r="O139" i="113"/>
  <c r="W139" i="113" s="1"/>
  <c r="N139" i="113"/>
  <c r="M139" i="113"/>
  <c r="L139" i="113"/>
  <c r="K139" i="113"/>
  <c r="J139" i="113"/>
  <c r="I139" i="113"/>
  <c r="H139" i="113"/>
  <c r="G139" i="113"/>
  <c r="F139" i="113"/>
  <c r="V139" i="113" s="1"/>
  <c r="U138" i="113"/>
  <c r="T138" i="113"/>
  <c r="AB138" i="113" s="1"/>
  <c r="S138" i="113"/>
  <c r="AA138" i="113" s="1"/>
  <c r="R138" i="113"/>
  <c r="Q138" i="113"/>
  <c r="P138" i="113"/>
  <c r="O138" i="113"/>
  <c r="N138" i="113"/>
  <c r="V138" i="113" s="1"/>
  <c r="M138" i="113"/>
  <c r="L138" i="113"/>
  <c r="K138" i="113"/>
  <c r="J138" i="113"/>
  <c r="Z138" i="113" s="1"/>
  <c r="I138" i="113"/>
  <c r="Y138" i="113" s="1"/>
  <c r="H138" i="113"/>
  <c r="X138" i="113" s="1"/>
  <c r="G138" i="113"/>
  <c r="F138" i="113"/>
  <c r="U137" i="113"/>
  <c r="T137" i="113"/>
  <c r="S137" i="113"/>
  <c r="R137" i="113"/>
  <c r="Z137" i="113" s="1"/>
  <c r="Q137" i="113"/>
  <c r="P137" i="113"/>
  <c r="X137" i="113" s="1"/>
  <c r="O137" i="113"/>
  <c r="N137" i="113"/>
  <c r="M137" i="113"/>
  <c r="AC137" i="113" s="1"/>
  <c r="L137" i="113"/>
  <c r="AB137" i="113" s="1"/>
  <c r="K137" i="113"/>
  <c r="AA137" i="113" s="1"/>
  <c r="J137" i="113"/>
  <c r="I137" i="113"/>
  <c r="H137" i="113"/>
  <c r="G137" i="113"/>
  <c r="F137" i="113"/>
  <c r="U136" i="113"/>
  <c r="AC136" i="113" s="1"/>
  <c r="T136" i="113"/>
  <c r="AB136" i="113" s="1"/>
  <c r="S136" i="113"/>
  <c r="AA136" i="113" s="1"/>
  <c r="R136" i="113"/>
  <c r="Q136" i="113"/>
  <c r="P136" i="113"/>
  <c r="X136" i="113" s="1"/>
  <c r="O136" i="113"/>
  <c r="W136" i="113" s="1"/>
  <c r="N136" i="113"/>
  <c r="M136" i="113"/>
  <c r="L136" i="113"/>
  <c r="K136" i="113"/>
  <c r="J136" i="113"/>
  <c r="I136" i="113"/>
  <c r="H136" i="113"/>
  <c r="G136" i="113"/>
  <c r="F136" i="113"/>
  <c r="U135" i="113"/>
  <c r="AC135" i="113" s="1"/>
  <c r="T135" i="113"/>
  <c r="AB135" i="113" s="1"/>
  <c r="S135" i="113"/>
  <c r="AA135" i="113" s="1"/>
  <c r="R135" i="113"/>
  <c r="Q135" i="113"/>
  <c r="P135" i="113"/>
  <c r="O135" i="113"/>
  <c r="N135" i="113"/>
  <c r="M135" i="113"/>
  <c r="L135" i="113"/>
  <c r="K135" i="113"/>
  <c r="J135" i="113"/>
  <c r="I135" i="113"/>
  <c r="H135" i="113"/>
  <c r="X135" i="113" s="1"/>
  <c r="G135" i="113"/>
  <c r="W135" i="113" s="1"/>
  <c r="F135" i="113"/>
  <c r="U134" i="113"/>
  <c r="T134" i="113"/>
  <c r="S134" i="113"/>
  <c r="R134" i="113"/>
  <c r="Z134" i="113" s="1"/>
  <c r="Q134" i="113"/>
  <c r="Y134" i="113" s="1"/>
  <c r="P134" i="113"/>
  <c r="O134" i="113"/>
  <c r="W134" i="113" s="1"/>
  <c r="N134" i="113"/>
  <c r="M134" i="113"/>
  <c r="L134" i="113"/>
  <c r="AB134" i="113" s="1"/>
  <c r="K134" i="113"/>
  <c r="AA134" i="113" s="1"/>
  <c r="J134" i="113"/>
  <c r="I134" i="113"/>
  <c r="H134" i="113"/>
  <c r="G134" i="113"/>
  <c r="F134" i="113"/>
  <c r="U72" i="112"/>
  <c r="T72" i="112"/>
  <c r="S72" i="112"/>
  <c r="R72" i="112"/>
  <c r="Q72" i="112"/>
  <c r="P72" i="112"/>
  <c r="O72" i="112"/>
  <c r="N72" i="112"/>
  <c r="M72" i="112"/>
  <c r="L72" i="112"/>
  <c r="K72" i="112"/>
  <c r="J72" i="112"/>
  <c r="I72" i="112"/>
  <c r="H72" i="112"/>
  <c r="G72" i="112"/>
  <c r="F72" i="112"/>
  <c r="P59" i="112"/>
  <c r="V59" i="112" s="1"/>
  <c r="O59" i="112"/>
  <c r="U59" i="112" s="1"/>
  <c r="N59" i="112"/>
  <c r="T59" i="112" s="1"/>
  <c r="M59" i="112"/>
  <c r="L59" i="112"/>
  <c r="J59" i="112"/>
  <c r="I59" i="112"/>
  <c r="H59" i="112"/>
  <c r="G59" i="112"/>
  <c r="S59" i="112" s="1"/>
  <c r="F59" i="112"/>
  <c r="R59" i="112" s="1"/>
  <c r="P58" i="112"/>
  <c r="V58" i="112" s="1"/>
  <c r="O58" i="112"/>
  <c r="N58" i="112"/>
  <c r="M58" i="112"/>
  <c r="S58" i="112" s="1"/>
  <c r="L58" i="112"/>
  <c r="R58" i="112" s="1"/>
  <c r="J58" i="112"/>
  <c r="I58" i="112"/>
  <c r="H58" i="112"/>
  <c r="G58" i="112"/>
  <c r="F58" i="112"/>
  <c r="P57" i="112"/>
  <c r="O57" i="112"/>
  <c r="N57" i="112"/>
  <c r="T57" i="112" s="1"/>
  <c r="M57" i="112"/>
  <c r="S57" i="112" s="1"/>
  <c r="L57" i="112"/>
  <c r="R57" i="112" s="1"/>
  <c r="J57" i="112"/>
  <c r="I57" i="112"/>
  <c r="H57" i="112"/>
  <c r="G57" i="112"/>
  <c r="F57" i="112"/>
  <c r="P56" i="112"/>
  <c r="O56" i="112"/>
  <c r="N56" i="112"/>
  <c r="M56" i="112"/>
  <c r="L56" i="112"/>
  <c r="R56" i="112" s="1"/>
  <c r="J56" i="112"/>
  <c r="V56" i="112" s="1"/>
  <c r="I56" i="112"/>
  <c r="H56" i="112"/>
  <c r="G56" i="112"/>
  <c r="F56" i="112"/>
  <c r="Q55" i="112"/>
  <c r="P55" i="112"/>
  <c r="O55" i="112"/>
  <c r="N55" i="112"/>
  <c r="M55" i="112"/>
  <c r="L55" i="112"/>
  <c r="R55" i="112" s="1"/>
  <c r="K55" i="112"/>
  <c r="J55" i="112"/>
  <c r="I55" i="112"/>
  <c r="H55" i="112"/>
  <c r="G55" i="112"/>
  <c r="F55" i="112"/>
  <c r="U192" i="113"/>
  <c r="T192" i="113"/>
  <c r="S192" i="113"/>
  <c r="R192" i="113"/>
  <c r="Z192" i="113" s="1"/>
  <c r="Q192" i="113"/>
  <c r="Y192" i="113" s="1"/>
  <c r="P192" i="113"/>
  <c r="X192" i="113" s="1"/>
  <c r="O192" i="113"/>
  <c r="N192" i="113"/>
  <c r="V192" i="113" s="1"/>
  <c r="M192" i="113"/>
  <c r="L192" i="113"/>
  <c r="AB192" i="113" s="1"/>
  <c r="K192" i="113"/>
  <c r="J192" i="113"/>
  <c r="I192" i="113"/>
  <c r="H192" i="113"/>
  <c r="G192" i="113"/>
  <c r="F192" i="113"/>
  <c r="U191" i="113"/>
  <c r="AC191" i="113" s="1"/>
  <c r="T191" i="113"/>
  <c r="AB191" i="113" s="1"/>
  <c r="S191" i="113"/>
  <c r="AA191" i="113" s="1"/>
  <c r="R191" i="113"/>
  <c r="Q191" i="113"/>
  <c r="P191" i="113"/>
  <c r="O191" i="113"/>
  <c r="W191" i="113" s="1"/>
  <c r="N191" i="113"/>
  <c r="M191" i="113"/>
  <c r="L191" i="113"/>
  <c r="K191" i="113"/>
  <c r="J191" i="113"/>
  <c r="I191" i="113"/>
  <c r="H191" i="113"/>
  <c r="G191" i="113"/>
  <c r="F191" i="113"/>
  <c r="U190" i="113"/>
  <c r="T190" i="113"/>
  <c r="AB190" i="113" s="1"/>
  <c r="S190" i="113"/>
  <c r="AA190" i="113" s="1"/>
  <c r="R190" i="113"/>
  <c r="Q190" i="113"/>
  <c r="P190" i="113"/>
  <c r="O190" i="113"/>
  <c r="N190" i="113"/>
  <c r="M190" i="113"/>
  <c r="L190" i="113"/>
  <c r="K190" i="113"/>
  <c r="J190" i="113"/>
  <c r="I190" i="113"/>
  <c r="H190" i="113"/>
  <c r="G190" i="113"/>
  <c r="F190" i="113"/>
  <c r="U189" i="113"/>
  <c r="T189" i="113"/>
  <c r="S189" i="113"/>
  <c r="R189" i="113"/>
  <c r="Q189" i="113"/>
  <c r="Y189" i="113" s="1"/>
  <c r="P189" i="113"/>
  <c r="X189" i="113" s="1"/>
  <c r="O189" i="113"/>
  <c r="W189" i="113" s="1"/>
  <c r="N189" i="113"/>
  <c r="M189" i="113"/>
  <c r="AC189" i="113" s="1"/>
  <c r="L189" i="113"/>
  <c r="AB189" i="113" s="1"/>
  <c r="K189" i="113"/>
  <c r="AA189" i="113" s="1"/>
  <c r="J189" i="113"/>
  <c r="I189" i="113"/>
  <c r="H189" i="113"/>
  <c r="G189" i="113"/>
  <c r="F189" i="113"/>
  <c r="V189" i="113" s="1"/>
  <c r="U188" i="113"/>
  <c r="T188" i="113"/>
  <c r="AB188" i="113" s="1"/>
  <c r="S188" i="113"/>
  <c r="AA188" i="113" s="1"/>
  <c r="R188" i="113"/>
  <c r="Q188" i="113"/>
  <c r="Y188" i="113" s="1"/>
  <c r="P188" i="113"/>
  <c r="X188" i="113" s="1"/>
  <c r="O188" i="113"/>
  <c r="W188" i="113" s="1"/>
  <c r="N188" i="113"/>
  <c r="M188" i="113"/>
  <c r="L188" i="113"/>
  <c r="K188" i="113"/>
  <c r="J188" i="113"/>
  <c r="I188" i="113"/>
  <c r="H188" i="113"/>
  <c r="G188" i="113"/>
  <c r="F188" i="113"/>
  <c r="U133" i="113"/>
  <c r="T133" i="113"/>
  <c r="AB133" i="113" s="1"/>
  <c r="S133" i="113"/>
  <c r="AA133" i="113" s="1"/>
  <c r="R133" i="113"/>
  <c r="Q133" i="113"/>
  <c r="P133" i="113"/>
  <c r="O133" i="113"/>
  <c r="N133" i="113"/>
  <c r="V133" i="113" s="1"/>
  <c r="M133" i="113"/>
  <c r="L133" i="113"/>
  <c r="K133" i="113"/>
  <c r="J133" i="113"/>
  <c r="I133" i="113"/>
  <c r="Y133" i="113" s="1"/>
  <c r="H133" i="113"/>
  <c r="X133" i="113" s="1"/>
  <c r="G133" i="113"/>
  <c r="F133" i="113"/>
  <c r="U132" i="113"/>
  <c r="T132" i="113"/>
  <c r="S132" i="113"/>
  <c r="R132" i="113"/>
  <c r="Q132" i="113"/>
  <c r="Y132" i="113" s="1"/>
  <c r="P132" i="113"/>
  <c r="X132" i="113" s="1"/>
  <c r="O132" i="113"/>
  <c r="W132" i="113" s="1"/>
  <c r="N132" i="113"/>
  <c r="M132" i="113"/>
  <c r="AC132" i="113" s="1"/>
  <c r="L132" i="113"/>
  <c r="AB132" i="113" s="1"/>
  <c r="K132" i="113"/>
  <c r="AA132" i="113" s="1"/>
  <c r="J132" i="113"/>
  <c r="I132" i="113"/>
  <c r="H132" i="113"/>
  <c r="G132" i="113"/>
  <c r="F132" i="113"/>
  <c r="U131" i="113"/>
  <c r="AC131" i="113" s="1"/>
  <c r="T131" i="113"/>
  <c r="S131" i="113"/>
  <c r="AA131" i="113" s="1"/>
  <c r="R131" i="113"/>
  <c r="Q131" i="113"/>
  <c r="Y131" i="113" s="1"/>
  <c r="P131" i="113"/>
  <c r="X131" i="113" s="1"/>
  <c r="O131" i="113"/>
  <c r="N131" i="113"/>
  <c r="M131" i="113"/>
  <c r="L131" i="113"/>
  <c r="K131" i="113"/>
  <c r="J131" i="113"/>
  <c r="I131" i="113"/>
  <c r="H131" i="113"/>
  <c r="G131" i="113"/>
  <c r="F131" i="113"/>
  <c r="U130" i="113"/>
  <c r="T130" i="113"/>
  <c r="AB130" i="113" s="1"/>
  <c r="S130" i="113"/>
  <c r="AA130" i="113" s="1"/>
  <c r="R130" i="113"/>
  <c r="Q130" i="113"/>
  <c r="P130" i="113"/>
  <c r="O130" i="113"/>
  <c r="N130" i="113"/>
  <c r="M130" i="113"/>
  <c r="L130" i="113"/>
  <c r="K130" i="113"/>
  <c r="J130" i="113"/>
  <c r="Z130" i="113" s="1"/>
  <c r="I130" i="113"/>
  <c r="Y130" i="113" s="1"/>
  <c r="H130" i="113"/>
  <c r="X130" i="113" s="1"/>
  <c r="G130" i="113"/>
  <c r="F130" i="113"/>
  <c r="U129" i="113"/>
  <c r="T129" i="113"/>
  <c r="S129" i="113"/>
  <c r="R129" i="113"/>
  <c r="Q129" i="113"/>
  <c r="Y129" i="113" s="1"/>
  <c r="P129" i="113"/>
  <c r="X129" i="113" s="1"/>
  <c r="O129" i="113"/>
  <c r="W129" i="113" s="1"/>
  <c r="N129" i="113"/>
  <c r="M129" i="113"/>
  <c r="AC129" i="113" s="1"/>
  <c r="L129" i="113"/>
  <c r="AB129" i="113" s="1"/>
  <c r="K129" i="113"/>
  <c r="J129" i="113"/>
  <c r="I129" i="113"/>
  <c r="H129" i="113"/>
  <c r="G129" i="113"/>
  <c r="F129" i="113"/>
  <c r="U128" i="113"/>
  <c r="T128" i="113"/>
  <c r="S128" i="113"/>
  <c r="AA128" i="113" s="1"/>
  <c r="R128" i="113"/>
  <c r="Q128" i="113"/>
  <c r="P128" i="113"/>
  <c r="X128" i="113" s="1"/>
  <c r="O128" i="113"/>
  <c r="N128" i="113"/>
  <c r="M128" i="113"/>
  <c r="L128" i="113"/>
  <c r="K128" i="113"/>
  <c r="J128" i="113"/>
  <c r="I128" i="113"/>
  <c r="H128" i="113"/>
  <c r="G128" i="113"/>
  <c r="F128" i="113"/>
  <c r="V128" i="113" s="1"/>
  <c r="U127" i="113"/>
  <c r="T127" i="113"/>
  <c r="AB127" i="113" s="1"/>
  <c r="S127" i="113"/>
  <c r="AA127" i="113" s="1"/>
  <c r="R127" i="113"/>
  <c r="Q127" i="113"/>
  <c r="P127" i="113"/>
  <c r="O127" i="113"/>
  <c r="N127" i="113"/>
  <c r="M127" i="113"/>
  <c r="L127" i="113"/>
  <c r="K127" i="113"/>
  <c r="J127" i="113"/>
  <c r="I127" i="113"/>
  <c r="Y127" i="113" s="1"/>
  <c r="H127" i="113"/>
  <c r="X127" i="113" s="1"/>
  <c r="G127" i="113"/>
  <c r="W127" i="113" s="1"/>
  <c r="F127" i="113"/>
  <c r="U126" i="113"/>
  <c r="T126" i="113"/>
  <c r="S126" i="113"/>
  <c r="R126" i="113"/>
  <c r="Z126" i="113" s="1"/>
  <c r="Q126" i="113"/>
  <c r="Y126" i="113" s="1"/>
  <c r="P126" i="113"/>
  <c r="X126" i="113" s="1"/>
  <c r="O126" i="113"/>
  <c r="W126" i="113" s="1"/>
  <c r="N126" i="113"/>
  <c r="M126" i="113"/>
  <c r="L126" i="113"/>
  <c r="AB126" i="113" s="1"/>
  <c r="K126" i="113"/>
  <c r="AA126" i="113" s="1"/>
  <c r="J126" i="113"/>
  <c r="I126" i="113"/>
  <c r="H126" i="113"/>
  <c r="G126" i="113"/>
  <c r="F126" i="113"/>
  <c r="U125" i="113"/>
  <c r="AC125" i="113" s="1"/>
  <c r="T125" i="113"/>
  <c r="AB125" i="113" s="1"/>
  <c r="S125" i="113"/>
  <c r="AA125" i="113" s="1"/>
  <c r="R125" i="113"/>
  <c r="Q125" i="113"/>
  <c r="P125" i="113"/>
  <c r="X125" i="113" s="1"/>
  <c r="O125" i="113"/>
  <c r="W125" i="113" s="1"/>
  <c r="N125" i="113"/>
  <c r="M125" i="113"/>
  <c r="L125" i="113"/>
  <c r="K125" i="113"/>
  <c r="J125" i="113"/>
  <c r="I125" i="113"/>
  <c r="H125" i="113"/>
  <c r="G125" i="113"/>
  <c r="F125" i="113"/>
  <c r="U124" i="113"/>
  <c r="T124" i="113"/>
  <c r="AB124" i="113" s="1"/>
  <c r="S124" i="113"/>
  <c r="AA124" i="113" s="1"/>
  <c r="R124" i="113"/>
  <c r="Q124" i="113"/>
  <c r="P124" i="113"/>
  <c r="O124" i="113"/>
  <c r="N124" i="113"/>
  <c r="M124" i="113"/>
  <c r="L124" i="113"/>
  <c r="K124" i="113"/>
  <c r="J124" i="113"/>
  <c r="I124" i="113"/>
  <c r="H124" i="113"/>
  <c r="G124" i="113"/>
  <c r="F124" i="113"/>
  <c r="U123" i="113"/>
  <c r="T123" i="113"/>
  <c r="S123" i="113"/>
  <c r="R123" i="113"/>
  <c r="Z123" i="113" s="1"/>
  <c r="Q123" i="113"/>
  <c r="Y123" i="113" s="1"/>
  <c r="P123" i="113"/>
  <c r="X123" i="113" s="1"/>
  <c r="O123" i="113"/>
  <c r="W123" i="113" s="1"/>
  <c r="N123" i="113"/>
  <c r="V123" i="113" s="1"/>
  <c r="M123" i="113"/>
  <c r="L123" i="113"/>
  <c r="AB123" i="113" s="1"/>
  <c r="K123" i="113"/>
  <c r="J123" i="113"/>
  <c r="I123" i="113"/>
  <c r="H123" i="113"/>
  <c r="G123" i="113"/>
  <c r="F123" i="113"/>
  <c r="U122" i="113"/>
  <c r="T122" i="113"/>
  <c r="AB122" i="113" s="1"/>
  <c r="S122" i="113"/>
  <c r="AA122" i="113" s="1"/>
  <c r="R122" i="113"/>
  <c r="Q122" i="113"/>
  <c r="P122" i="113"/>
  <c r="X122" i="113" s="1"/>
  <c r="O122" i="113"/>
  <c r="W122" i="113" s="1"/>
  <c r="N122" i="113"/>
  <c r="M122" i="113"/>
  <c r="L122" i="113"/>
  <c r="K122" i="113"/>
  <c r="J122" i="113"/>
  <c r="I122" i="113"/>
  <c r="H122" i="113"/>
  <c r="G122" i="113"/>
  <c r="F122" i="113"/>
  <c r="V122" i="113" s="1"/>
  <c r="U121" i="113"/>
  <c r="T121" i="113"/>
  <c r="AB121" i="113" s="1"/>
  <c r="S121" i="113"/>
  <c r="AA121" i="113" s="1"/>
  <c r="R121" i="113"/>
  <c r="Q121" i="113"/>
  <c r="P121" i="113"/>
  <c r="O121" i="113"/>
  <c r="N121" i="113"/>
  <c r="M121" i="113"/>
  <c r="L121" i="113"/>
  <c r="K121" i="113"/>
  <c r="J121" i="113"/>
  <c r="Z121" i="113" s="1"/>
  <c r="I121" i="113"/>
  <c r="Y121" i="113" s="1"/>
  <c r="H121" i="113"/>
  <c r="X121" i="113" s="1"/>
  <c r="G121" i="113"/>
  <c r="W121" i="113" s="1"/>
  <c r="F121" i="113"/>
  <c r="U120" i="113"/>
  <c r="T120" i="113"/>
  <c r="S120" i="113"/>
  <c r="R120" i="113"/>
  <c r="Z120" i="113" s="1"/>
  <c r="Q120" i="113"/>
  <c r="Y120" i="113" s="1"/>
  <c r="P120" i="113"/>
  <c r="O120" i="113"/>
  <c r="N120" i="113"/>
  <c r="M120" i="113"/>
  <c r="AC120" i="113" s="1"/>
  <c r="L120" i="113"/>
  <c r="AB120" i="113" s="1"/>
  <c r="K120" i="113"/>
  <c r="J120" i="113"/>
  <c r="I120" i="113"/>
  <c r="H120" i="113"/>
  <c r="G120" i="113"/>
  <c r="F120" i="113"/>
  <c r="V120" i="113" s="1"/>
  <c r="U119" i="113"/>
  <c r="T119" i="113"/>
  <c r="S119" i="113"/>
  <c r="AA119" i="113" s="1"/>
  <c r="R119" i="113"/>
  <c r="Q119" i="113"/>
  <c r="P119" i="113"/>
  <c r="X119" i="113" s="1"/>
  <c r="O119" i="113"/>
  <c r="N119" i="113"/>
  <c r="M119" i="113"/>
  <c r="L119" i="113"/>
  <c r="K119" i="113"/>
  <c r="J119" i="113"/>
  <c r="I119" i="113"/>
  <c r="H119" i="113"/>
  <c r="G119" i="113"/>
  <c r="F119" i="113"/>
  <c r="V119" i="113" s="1"/>
  <c r="U118" i="113"/>
  <c r="T118" i="113"/>
  <c r="AB118" i="113" s="1"/>
  <c r="S118" i="113"/>
  <c r="R118" i="113"/>
  <c r="Q118" i="113"/>
  <c r="P118" i="113"/>
  <c r="O118" i="113"/>
  <c r="N118" i="113"/>
  <c r="V118" i="113" s="1"/>
  <c r="M118" i="113"/>
  <c r="L118" i="113"/>
  <c r="K118" i="113"/>
  <c r="J118" i="113"/>
  <c r="I118" i="113"/>
  <c r="H118" i="113"/>
  <c r="G118" i="113"/>
  <c r="W118" i="113" s="1"/>
  <c r="F118" i="113"/>
  <c r="U117" i="113"/>
  <c r="T117" i="113"/>
  <c r="S117" i="113"/>
  <c r="R117" i="113"/>
  <c r="Q117" i="113"/>
  <c r="Y117" i="113" s="1"/>
  <c r="P117" i="113"/>
  <c r="X117" i="113" s="1"/>
  <c r="O117" i="113"/>
  <c r="W117" i="113" s="1"/>
  <c r="N117" i="113"/>
  <c r="V117" i="113" s="1"/>
  <c r="M117" i="113"/>
  <c r="AC117" i="113" s="1"/>
  <c r="L117" i="113"/>
  <c r="AB117" i="113" s="1"/>
  <c r="K117" i="113"/>
  <c r="AA117" i="113" s="1"/>
  <c r="J117" i="113"/>
  <c r="I117" i="113"/>
  <c r="H117" i="113"/>
  <c r="G117" i="113"/>
  <c r="F117" i="113"/>
  <c r="U116" i="113"/>
  <c r="T116" i="113"/>
  <c r="AB116" i="113" s="1"/>
  <c r="S116" i="113"/>
  <c r="AA116" i="113" s="1"/>
  <c r="R116" i="113"/>
  <c r="Q116" i="113"/>
  <c r="P116" i="113"/>
  <c r="X116" i="113" s="1"/>
  <c r="O116" i="113"/>
  <c r="W116" i="113" s="1"/>
  <c r="N116" i="113"/>
  <c r="M116" i="113"/>
  <c r="L116" i="113"/>
  <c r="K116" i="113"/>
  <c r="J116" i="113"/>
  <c r="I116" i="113"/>
  <c r="H116" i="113"/>
  <c r="G116" i="113"/>
  <c r="F116" i="113"/>
  <c r="U115" i="113"/>
  <c r="T115" i="113"/>
  <c r="S115" i="113"/>
  <c r="AA115" i="113" s="1"/>
  <c r="R115" i="113"/>
  <c r="Q115" i="113"/>
  <c r="P115" i="113"/>
  <c r="O115" i="113"/>
  <c r="N115" i="113"/>
  <c r="V115" i="113" s="1"/>
  <c r="M115" i="113"/>
  <c r="L115" i="113"/>
  <c r="K115" i="113"/>
  <c r="J115" i="113"/>
  <c r="Z115" i="113" s="1"/>
  <c r="I115" i="113"/>
  <c r="Y115" i="113" s="1"/>
  <c r="H115" i="113"/>
  <c r="X115" i="113" s="1"/>
  <c r="G115" i="113"/>
  <c r="W115" i="113" s="1"/>
  <c r="F115" i="113"/>
  <c r="U114" i="113"/>
  <c r="T114" i="113"/>
  <c r="S114" i="113"/>
  <c r="R114" i="113"/>
  <c r="Q114" i="113"/>
  <c r="Y114" i="113" s="1"/>
  <c r="P114" i="113"/>
  <c r="X114" i="113" s="1"/>
  <c r="O114" i="113"/>
  <c r="W114" i="113" s="1"/>
  <c r="N114" i="113"/>
  <c r="M114" i="113"/>
  <c r="L114" i="113"/>
  <c r="AB114" i="113" s="1"/>
  <c r="K114" i="113"/>
  <c r="AA114" i="113" s="1"/>
  <c r="J114" i="113"/>
  <c r="I114" i="113"/>
  <c r="H114" i="113"/>
  <c r="G114" i="113"/>
  <c r="F114" i="113"/>
  <c r="U71" i="112"/>
  <c r="T71" i="112"/>
  <c r="S71" i="112"/>
  <c r="R71" i="112"/>
  <c r="Q71" i="112"/>
  <c r="P71" i="112"/>
  <c r="O71" i="112"/>
  <c r="N71" i="112"/>
  <c r="M71" i="112"/>
  <c r="L71" i="112"/>
  <c r="K71" i="112"/>
  <c r="J71" i="112"/>
  <c r="I71" i="112"/>
  <c r="H71" i="112"/>
  <c r="G71" i="112"/>
  <c r="F71" i="112"/>
  <c r="B61" i="112"/>
  <c r="P54" i="112"/>
  <c r="V54" i="112" s="1"/>
  <c r="O54" i="112"/>
  <c r="U54" i="112" s="1"/>
  <c r="N54" i="112"/>
  <c r="M54" i="112"/>
  <c r="L54" i="112"/>
  <c r="J54" i="112"/>
  <c r="I54" i="112"/>
  <c r="H54" i="112"/>
  <c r="T54" i="112" s="1"/>
  <c r="G54" i="112"/>
  <c r="S54" i="112" s="1"/>
  <c r="F54" i="112"/>
  <c r="R54" i="112" s="1"/>
  <c r="P53" i="112"/>
  <c r="O53" i="112"/>
  <c r="N53" i="112"/>
  <c r="T53" i="112" s="1"/>
  <c r="M53" i="112"/>
  <c r="S53" i="112" s="1"/>
  <c r="L53" i="112"/>
  <c r="J53" i="112"/>
  <c r="I53" i="112"/>
  <c r="H53" i="112"/>
  <c r="G53" i="112"/>
  <c r="F53" i="112"/>
  <c r="P52" i="112"/>
  <c r="O52" i="112"/>
  <c r="N52" i="112"/>
  <c r="M52" i="112"/>
  <c r="S52" i="112" s="1"/>
  <c r="L52" i="112"/>
  <c r="R52" i="112" s="1"/>
  <c r="J52" i="112"/>
  <c r="I52" i="112"/>
  <c r="H52" i="112"/>
  <c r="G52" i="112"/>
  <c r="F52" i="112"/>
  <c r="P51" i="112"/>
  <c r="O51" i="112"/>
  <c r="N51" i="112"/>
  <c r="M51" i="112"/>
  <c r="S51" i="112" s="1"/>
  <c r="L51" i="112"/>
  <c r="J51" i="112"/>
  <c r="V51" i="112" s="1"/>
  <c r="I51" i="112"/>
  <c r="U51" i="112" s="1"/>
  <c r="H51" i="112"/>
  <c r="G51" i="112"/>
  <c r="F51" i="112"/>
  <c r="Q50" i="112"/>
  <c r="P50" i="112"/>
  <c r="O50" i="112"/>
  <c r="N50" i="112"/>
  <c r="M50" i="112"/>
  <c r="S50" i="112" s="1"/>
  <c r="L50" i="112"/>
  <c r="R50" i="112" s="1"/>
  <c r="K50" i="112"/>
  <c r="J50" i="112"/>
  <c r="V50" i="112" s="1"/>
  <c r="I50" i="112"/>
  <c r="H50" i="112"/>
  <c r="G50" i="112"/>
  <c r="F50" i="112"/>
  <c r="U187" i="113"/>
  <c r="AC187" i="113" s="1"/>
  <c r="T187" i="113"/>
  <c r="AB187" i="113" s="1"/>
  <c r="S187" i="113"/>
  <c r="R187" i="113"/>
  <c r="Q187" i="113"/>
  <c r="Y187" i="113" s="1"/>
  <c r="P187" i="113"/>
  <c r="O187" i="113"/>
  <c r="N187" i="113"/>
  <c r="M187" i="113"/>
  <c r="L187" i="113"/>
  <c r="K187" i="113"/>
  <c r="J187" i="113"/>
  <c r="I187" i="113"/>
  <c r="H187" i="113"/>
  <c r="G187" i="113"/>
  <c r="F187" i="113"/>
  <c r="U186" i="113"/>
  <c r="AC186" i="113" s="1"/>
  <c r="T186" i="113"/>
  <c r="AB186" i="113" s="1"/>
  <c r="S186" i="113"/>
  <c r="R186" i="113"/>
  <c r="Q186" i="113"/>
  <c r="P186" i="113"/>
  <c r="O186" i="113"/>
  <c r="W186" i="113" s="1"/>
  <c r="N186" i="113"/>
  <c r="M186" i="113"/>
  <c r="L186" i="113"/>
  <c r="K186" i="113"/>
  <c r="J186" i="113"/>
  <c r="I186" i="113"/>
  <c r="H186" i="113"/>
  <c r="X186" i="113" s="1"/>
  <c r="G186" i="113"/>
  <c r="F186" i="113"/>
  <c r="U185" i="113"/>
  <c r="T185" i="113"/>
  <c r="S185" i="113"/>
  <c r="AA185" i="113" s="1"/>
  <c r="R185" i="113"/>
  <c r="Z185" i="113" s="1"/>
  <c r="Q185" i="113"/>
  <c r="P185" i="113"/>
  <c r="O185" i="113"/>
  <c r="N185" i="113"/>
  <c r="M185" i="113"/>
  <c r="L185" i="113"/>
  <c r="K185" i="113"/>
  <c r="J185" i="113"/>
  <c r="I185" i="113"/>
  <c r="H185" i="113"/>
  <c r="G185" i="113"/>
  <c r="F185" i="113"/>
  <c r="U184" i="113"/>
  <c r="AC184" i="113" s="1"/>
  <c r="T184" i="113"/>
  <c r="AB184" i="113" s="1"/>
  <c r="S184" i="113"/>
  <c r="R184" i="113"/>
  <c r="Q184" i="113"/>
  <c r="Y184" i="113" s="1"/>
  <c r="P184" i="113"/>
  <c r="X184" i="113" s="1"/>
  <c r="O184" i="113"/>
  <c r="N184" i="113"/>
  <c r="M184" i="113"/>
  <c r="L184" i="113"/>
  <c r="K184" i="113"/>
  <c r="J184" i="113"/>
  <c r="I184" i="113"/>
  <c r="H184" i="113"/>
  <c r="G184" i="113"/>
  <c r="W184" i="113" s="1"/>
  <c r="F184" i="113"/>
  <c r="V184" i="113" s="1"/>
  <c r="U183" i="113"/>
  <c r="AC183" i="113" s="1"/>
  <c r="T183" i="113"/>
  <c r="AB183" i="113" s="1"/>
  <c r="S183" i="113"/>
  <c r="R183" i="113"/>
  <c r="Q183" i="113"/>
  <c r="P183" i="113"/>
  <c r="O183" i="113"/>
  <c r="N183" i="113"/>
  <c r="V183" i="113" s="1"/>
  <c r="M183" i="113"/>
  <c r="L183" i="113"/>
  <c r="K183" i="113"/>
  <c r="J183" i="113"/>
  <c r="I183" i="113"/>
  <c r="Y183" i="113" s="1"/>
  <c r="H183" i="113"/>
  <c r="A183" i="113" s="1"/>
  <c r="G183" i="113"/>
  <c r="F183" i="113"/>
  <c r="U113" i="113"/>
  <c r="T113" i="113"/>
  <c r="S113" i="113"/>
  <c r="AA113" i="113" s="1"/>
  <c r="R113" i="113"/>
  <c r="Z113" i="113" s="1"/>
  <c r="Q113" i="113"/>
  <c r="Y113" i="113" s="1"/>
  <c r="P113" i="113"/>
  <c r="X113" i="113" s="1"/>
  <c r="O113" i="113"/>
  <c r="N113" i="113"/>
  <c r="V113" i="113" s="1"/>
  <c r="M113" i="113"/>
  <c r="AC113" i="113" s="1"/>
  <c r="L113" i="113"/>
  <c r="K113" i="113"/>
  <c r="J113" i="113"/>
  <c r="I113" i="113"/>
  <c r="H113" i="113"/>
  <c r="G113" i="113"/>
  <c r="F113" i="113"/>
  <c r="U112" i="113"/>
  <c r="AC112" i="113" s="1"/>
  <c r="T112" i="113"/>
  <c r="AB112" i="113" s="1"/>
  <c r="S112" i="113"/>
  <c r="R112" i="113"/>
  <c r="Z112" i="113" s="1"/>
  <c r="Q112" i="113"/>
  <c r="P112" i="113"/>
  <c r="X112" i="113" s="1"/>
  <c r="O112" i="113"/>
  <c r="N112" i="113"/>
  <c r="M112" i="113"/>
  <c r="L112" i="113"/>
  <c r="K112" i="113"/>
  <c r="J112" i="113"/>
  <c r="I112" i="113"/>
  <c r="H112" i="113"/>
  <c r="G112" i="113"/>
  <c r="F112" i="113"/>
  <c r="U111" i="113"/>
  <c r="T111" i="113"/>
  <c r="AB111" i="113" s="1"/>
  <c r="S111" i="113"/>
  <c r="R111" i="113"/>
  <c r="Q111" i="113"/>
  <c r="P111" i="113"/>
  <c r="O111" i="113"/>
  <c r="W111" i="113" s="1"/>
  <c r="N111" i="113"/>
  <c r="V111" i="113" s="1"/>
  <c r="M111" i="113"/>
  <c r="L111" i="113"/>
  <c r="K111" i="113"/>
  <c r="J111" i="113"/>
  <c r="I111" i="113"/>
  <c r="Y111" i="113" s="1"/>
  <c r="H111" i="113"/>
  <c r="X111" i="113" s="1"/>
  <c r="G111" i="113"/>
  <c r="F111" i="113"/>
  <c r="U110" i="113"/>
  <c r="T110" i="113"/>
  <c r="S110" i="113"/>
  <c r="AA110" i="113" s="1"/>
  <c r="R110" i="113"/>
  <c r="Z110" i="113" s="1"/>
  <c r="Q110" i="113"/>
  <c r="Y110" i="113" s="1"/>
  <c r="P110" i="113"/>
  <c r="X110" i="113" s="1"/>
  <c r="O110" i="113"/>
  <c r="N110" i="113"/>
  <c r="V110" i="113" s="1"/>
  <c r="M110" i="113"/>
  <c r="L110" i="113"/>
  <c r="AB110" i="113" s="1"/>
  <c r="K110" i="113"/>
  <c r="J110" i="113"/>
  <c r="I110" i="113"/>
  <c r="H110" i="113"/>
  <c r="G110" i="113"/>
  <c r="F110" i="113"/>
  <c r="U109" i="113"/>
  <c r="AC109" i="113" s="1"/>
  <c r="T109" i="113"/>
  <c r="S109" i="113"/>
  <c r="R109" i="113"/>
  <c r="Z109" i="113" s="1"/>
  <c r="Q109" i="113"/>
  <c r="Y109" i="113" s="1"/>
  <c r="P109" i="113"/>
  <c r="O109" i="113"/>
  <c r="N109" i="113"/>
  <c r="M109" i="113"/>
  <c r="L109" i="113"/>
  <c r="K109" i="113"/>
  <c r="J109" i="113"/>
  <c r="I109" i="113"/>
  <c r="H109" i="113"/>
  <c r="G109" i="113"/>
  <c r="F109" i="113"/>
  <c r="U108" i="113"/>
  <c r="AC108" i="113" s="1"/>
  <c r="T108" i="113"/>
  <c r="AB108" i="113" s="1"/>
  <c r="S108" i="113"/>
  <c r="R108" i="113"/>
  <c r="Q108" i="113"/>
  <c r="P108" i="113"/>
  <c r="O108" i="113"/>
  <c r="W108" i="113" s="1"/>
  <c r="N108" i="113"/>
  <c r="V108" i="113" s="1"/>
  <c r="M108" i="113"/>
  <c r="L108" i="113"/>
  <c r="K108" i="113"/>
  <c r="J108" i="113"/>
  <c r="Z108" i="113" s="1"/>
  <c r="I108" i="113"/>
  <c r="H108" i="113"/>
  <c r="X108" i="113" s="1"/>
  <c r="G108" i="113"/>
  <c r="F108" i="113"/>
  <c r="U107" i="113"/>
  <c r="T107" i="113"/>
  <c r="S107" i="113"/>
  <c r="R107" i="113"/>
  <c r="Z107" i="113" s="1"/>
  <c r="Q107" i="113"/>
  <c r="Y107" i="113" s="1"/>
  <c r="P107" i="113"/>
  <c r="O107" i="113"/>
  <c r="N107" i="113"/>
  <c r="V107" i="113" s="1"/>
  <c r="M107" i="113"/>
  <c r="AC107" i="113" s="1"/>
  <c r="L107" i="113"/>
  <c r="K107" i="113"/>
  <c r="J107" i="113"/>
  <c r="I107" i="113"/>
  <c r="H107" i="113"/>
  <c r="G107" i="113"/>
  <c r="F107" i="113"/>
  <c r="U106" i="113"/>
  <c r="AC106" i="113" s="1"/>
  <c r="T106" i="113"/>
  <c r="AB106" i="113" s="1"/>
  <c r="S106" i="113"/>
  <c r="AA106" i="113" s="1"/>
  <c r="R106" i="113"/>
  <c r="Z106" i="113" s="1"/>
  <c r="Q106" i="113"/>
  <c r="Y106" i="113" s="1"/>
  <c r="P106" i="113"/>
  <c r="X106" i="113" s="1"/>
  <c r="O106" i="113"/>
  <c r="N106" i="113"/>
  <c r="M106" i="113"/>
  <c r="L106" i="113"/>
  <c r="K106" i="113"/>
  <c r="J106" i="113"/>
  <c r="I106" i="113"/>
  <c r="H106" i="113"/>
  <c r="G106" i="113"/>
  <c r="W106" i="113" s="1"/>
  <c r="F106" i="113"/>
  <c r="V106" i="113" s="1"/>
  <c r="U105" i="113"/>
  <c r="AC105" i="113" s="1"/>
  <c r="T105" i="113"/>
  <c r="AB105" i="113" s="1"/>
  <c r="S105" i="113"/>
  <c r="R105" i="113"/>
  <c r="Q105" i="113"/>
  <c r="P105" i="113"/>
  <c r="O105" i="113"/>
  <c r="W105" i="113" s="1"/>
  <c r="N105" i="113"/>
  <c r="M105" i="113"/>
  <c r="L105" i="113"/>
  <c r="K105" i="113"/>
  <c r="J105" i="113"/>
  <c r="Z105" i="113" s="1"/>
  <c r="I105" i="113"/>
  <c r="Y105" i="113" s="1"/>
  <c r="H105" i="113"/>
  <c r="G105" i="113"/>
  <c r="F105" i="113"/>
  <c r="U104" i="113"/>
  <c r="T104" i="113"/>
  <c r="S104" i="113"/>
  <c r="R104" i="113"/>
  <c r="Z104" i="113" s="1"/>
  <c r="Q104" i="113"/>
  <c r="Y104" i="113" s="1"/>
  <c r="P104" i="113"/>
  <c r="X104" i="113" s="1"/>
  <c r="O104" i="113"/>
  <c r="W104" i="113" s="1"/>
  <c r="N104" i="113"/>
  <c r="V104" i="113" s="1"/>
  <c r="M104" i="113"/>
  <c r="L104" i="113"/>
  <c r="K104" i="113"/>
  <c r="J104" i="113"/>
  <c r="I104" i="113"/>
  <c r="H104" i="113"/>
  <c r="G104" i="113"/>
  <c r="F104" i="113"/>
  <c r="U103" i="113"/>
  <c r="AC103" i="113" s="1"/>
  <c r="T103" i="113"/>
  <c r="AB103" i="113" s="1"/>
  <c r="S103" i="113"/>
  <c r="R103" i="113"/>
  <c r="Z103" i="113" s="1"/>
  <c r="Q103" i="113"/>
  <c r="Y103" i="113" s="1"/>
  <c r="P103" i="113"/>
  <c r="X103" i="113" s="1"/>
  <c r="O103" i="113"/>
  <c r="N103" i="113"/>
  <c r="M103" i="113"/>
  <c r="L103" i="113"/>
  <c r="K103" i="113"/>
  <c r="J103" i="113"/>
  <c r="I103" i="113"/>
  <c r="H103" i="113"/>
  <c r="G103" i="113"/>
  <c r="W103" i="113" s="1"/>
  <c r="F103" i="113"/>
  <c r="U102" i="113"/>
  <c r="AC102" i="113" s="1"/>
  <c r="T102" i="113"/>
  <c r="AB102" i="113" s="1"/>
  <c r="S102" i="113"/>
  <c r="R102" i="113"/>
  <c r="Q102" i="113"/>
  <c r="P102" i="113"/>
  <c r="O102" i="113"/>
  <c r="W102" i="113" s="1"/>
  <c r="N102" i="113"/>
  <c r="V102" i="113" s="1"/>
  <c r="M102" i="113"/>
  <c r="L102" i="113"/>
  <c r="K102" i="113"/>
  <c r="J102" i="113"/>
  <c r="I102" i="113"/>
  <c r="H102" i="113"/>
  <c r="X102" i="113" s="1"/>
  <c r="G102" i="113"/>
  <c r="F102" i="113"/>
  <c r="U101" i="113"/>
  <c r="T101" i="113"/>
  <c r="S101" i="113"/>
  <c r="R101" i="113"/>
  <c r="Q101" i="113"/>
  <c r="P101" i="113"/>
  <c r="X101" i="113" s="1"/>
  <c r="O101" i="113"/>
  <c r="N101" i="113"/>
  <c r="V101" i="113" s="1"/>
  <c r="M101" i="113"/>
  <c r="AC101" i="113" s="1"/>
  <c r="L101" i="113"/>
  <c r="K101" i="113"/>
  <c r="J101" i="113"/>
  <c r="I101" i="113"/>
  <c r="H101" i="113"/>
  <c r="G101" i="113"/>
  <c r="F101" i="113"/>
  <c r="U100" i="113"/>
  <c r="AC100" i="113" s="1"/>
  <c r="T100" i="113"/>
  <c r="AB100" i="113" s="1"/>
  <c r="S100" i="113"/>
  <c r="R100" i="113"/>
  <c r="Q100" i="113"/>
  <c r="Y100" i="113" s="1"/>
  <c r="P100" i="113"/>
  <c r="O100" i="113"/>
  <c r="N100" i="113"/>
  <c r="M100" i="113"/>
  <c r="L100" i="113"/>
  <c r="K100" i="113"/>
  <c r="J100" i="113"/>
  <c r="I100" i="113"/>
  <c r="H100" i="113"/>
  <c r="G100" i="113"/>
  <c r="W100" i="113" s="1"/>
  <c r="F100" i="113"/>
  <c r="U99" i="113"/>
  <c r="AC99" i="113" s="1"/>
  <c r="T99" i="113"/>
  <c r="AB99" i="113" s="1"/>
  <c r="S99" i="113"/>
  <c r="R99" i="113"/>
  <c r="Q99" i="113"/>
  <c r="P99" i="113"/>
  <c r="O99" i="113"/>
  <c r="W99" i="113" s="1"/>
  <c r="N99" i="113"/>
  <c r="V99" i="113" s="1"/>
  <c r="M99" i="113"/>
  <c r="L99" i="113"/>
  <c r="K99" i="113"/>
  <c r="J99" i="113"/>
  <c r="Z99" i="113" s="1"/>
  <c r="I99" i="113"/>
  <c r="Y99" i="113" s="1"/>
  <c r="H99" i="113"/>
  <c r="X99" i="113" s="1"/>
  <c r="G99" i="113"/>
  <c r="F99" i="113"/>
  <c r="U98" i="113"/>
  <c r="T98" i="113"/>
  <c r="S98" i="113"/>
  <c r="AA98" i="113" s="1"/>
  <c r="R98" i="113"/>
  <c r="Q98" i="113"/>
  <c r="P98" i="113"/>
  <c r="X98" i="113" s="1"/>
  <c r="O98" i="113"/>
  <c r="N98" i="113"/>
  <c r="V98" i="113" s="1"/>
  <c r="M98" i="113"/>
  <c r="AC98" i="113" s="1"/>
  <c r="L98" i="113"/>
  <c r="AB98" i="113" s="1"/>
  <c r="K98" i="113"/>
  <c r="J98" i="113"/>
  <c r="I98" i="113"/>
  <c r="H98" i="113"/>
  <c r="G98" i="113"/>
  <c r="F98" i="113"/>
  <c r="U97" i="113"/>
  <c r="T97" i="113"/>
  <c r="AB97" i="113" s="1"/>
  <c r="S97" i="113"/>
  <c r="R97" i="113"/>
  <c r="Z97" i="113" s="1"/>
  <c r="Q97" i="113"/>
  <c r="Y97" i="113" s="1"/>
  <c r="P97" i="113"/>
  <c r="X97" i="113" s="1"/>
  <c r="O97" i="113"/>
  <c r="N97" i="113"/>
  <c r="M97" i="113"/>
  <c r="L97" i="113"/>
  <c r="K97" i="113"/>
  <c r="J97" i="113"/>
  <c r="I97" i="113"/>
  <c r="H97" i="113"/>
  <c r="G97" i="113"/>
  <c r="W97" i="113" s="1"/>
  <c r="F97" i="113"/>
  <c r="U96" i="113"/>
  <c r="AC96" i="113" s="1"/>
  <c r="T96" i="113"/>
  <c r="AB96" i="113" s="1"/>
  <c r="S96" i="113"/>
  <c r="R96" i="113"/>
  <c r="Q96" i="113"/>
  <c r="P96" i="113"/>
  <c r="O96" i="113"/>
  <c r="N96" i="113"/>
  <c r="M96" i="113"/>
  <c r="L96" i="113"/>
  <c r="K96" i="113"/>
  <c r="AA96" i="113" s="1"/>
  <c r="J96" i="113"/>
  <c r="Z96" i="113" s="1"/>
  <c r="I96" i="113"/>
  <c r="Y96" i="113" s="1"/>
  <c r="H96" i="113"/>
  <c r="G96" i="113"/>
  <c r="F96" i="113"/>
  <c r="U95" i="113"/>
  <c r="T95" i="113"/>
  <c r="S95" i="113"/>
  <c r="R95" i="113"/>
  <c r="Z95" i="113" s="1"/>
  <c r="Q95" i="113"/>
  <c r="P95" i="113"/>
  <c r="X95" i="113" s="1"/>
  <c r="O95" i="113"/>
  <c r="N95" i="113"/>
  <c r="V95" i="113" s="1"/>
  <c r="M95" i="113"/>
  <c r="AC95" i="113" s="1"/>
  <c r="L95" i="113"/>
  <c r="K95" i="113"/>
  <c r="J95" i="113"/>
  <c r="I95" i="113"/>
  <c r="H95" i="113"/>
  <c r="G95" i="113"/>
  <c r="F95" i="113"/>
  <c r="U94" i="113"/>
  <c r="T94" i="113"/>
  <c r="AB94" i="113" s="1"/>
  <c r="S94" i="113"/>
  <c r="R94" i="113"/>
  <c r="Z94" i="113" s="1"/>
  <c r="Q94" i="113"/>
  <c r="Y94" i="113" s="1"/>
  <c r="P94" i="113"/>
  <c r="X94" i="113" s="1"/>
  <c r="O94" i="113"/>
  <c r="N94" i="113"/>
  <c r="M94" i="113"/>
  <c r="L94" i="113"/>
  <c r="K94" i="113"/>
  <c r="J94" i="113"/>
  <c r="I94" i="113"/>
  <c r="H94" i="113"/>
  <c r="G94" i="113"/>
  <c r="F94" i="113"/>
  <c r="V94" i="113" s="1"/>
  <c r="U70" i="112"/>
  <c r="T70" i="112"/>
  <c r="S70" i="112"/>
  <c r="R70" i="112"/>
  <c r="Q70" i="112"/>
  <c r="P70" i="112"/>
  <c r="O70" i="112"/>
  <c r="N70" i="112"/>
  <c r="M70" i="112"/>
  <c r="L70" i="112"/>
  <c r="K70" i="112"/>
  <c r="J70" i="112"/>
  <c r="I70" i="112"/>
  <c r="H70" i="112"/>
  <c r="G70" i="112"/>
  <c r="F70" i="112"/>
  <c r="P49" i="112"/>
  <c r="O49" i="112"/>
  <c r="N49" i="112"/>
  <c r="M49" i="112"/>
  <c r="L49" i="112"/>
  <c r="J49" i="112"/>
  <c r="V49" i="112" s="1"/>
  <c r="I49" i="112"/>
  <c r="H49" i="112"/>
  <c r="T49" i="112" s="1"/>
  <c r="G49" i="112"/>
  <c r="F49" i="112"/>
  <c r="P48" i="112"/>
  <c r="O48" i="112"/>
  <c r="N48" i="112"/>
  <c r="M48" i="112"/>
  <c r="L48" i="112"/>
  <c r="J48" i="112"/>
  <c r="V48" i="112" s="1"/>
  <c r="I48" i="112"/>
  <c r="U48" i="112" s="1"/>
  <c r="H48" i="112"/>
  <c r="T48" i="112" s="1"/>
  <c r="G48" i="112"/>
  <c r="S48" i="112" s="1"/>
  <c r="F48" i="112"/>
  <c r="P47" i="112"/>
  <c r="V47" i="112" s="1"/>
  <c r="O47" i="112"/>
  <c r="U47" i="112" s="1"/>
  <c r="N47" i="112"/>
  <c r="M47" i="112"/>
  <c r="L47" i="112"/>
  <c r="J47" i="112"/>
  <c r="I47" i="112"/>
  <c r="H47" i="112"/>
  <c r="G47" i="112"/>
  <c r="F47" i="112"/>
  <c r="R47" i="112" s="1"/>
  <c r="P46" i="112"/>
  <c r="V46" i="112" s="1"/>
  <c r="O46" i="112"/>
  <c r="U46" i="112" s="1"/>
  <c r="N46" i="112"/>
  <c r="T46" i="112" s="1"/>
  <c r="M46" i="112"/>
  <c r="L46" i="112"/>
  <c r="J46" i="112"/>
  <c r="I46" i="112"/>
  <c r="H46" i="112"/>
  <c r="G46" i="112"/>
  <c r="F46" i="112"/>
  <c r="R46" i="112" s="1"/>
  <c r="Q45" i="112"/>
  <c r="W45" i="112" s="1"/>
  <c r="P45" i="112"/>
  <c r="V45" i="112" s="1"/>
  <c r="O45" i="112"/>
  <c r="N45" i="112"/>
  <c r="T45" i="112" s="1"/>
  <c r="M45" i="112"/>
  <c r="S45" i="112" s="1"/>
  <c r="L45" i="112"/>
  <c r="K45" i="112"/>
  <c r="J45" i="112"/>
  <c r="I45" i="112"/>
  <c r="H45" i="112"/>
  <c r="G45" i="112"/>
  <c r="F45" i="112"/>
  <c r="U182" i="113"/>
  <c r="AC182" i="113" s="1"/>
  <c r="T182" i="113"/>
  <c r="AB182" i="113" s="1"/>
  <c r="S182" i="113"/>
  <c r="R182" i="113"/>
  <c r="Q182" i="113"/>
  <c r="Y182" i="113" s="1"/>
  <c r="P182" i="113"/>
  <c r="X182" i="113" s="1"/>
  <c r="O182" i="113"/>
  <c r="N182" i="113"/>
  <c r="M182" i="113"/>
  <c r="L182" i="113"/>
  <c r="K182" i="113"/>
  <c r="J182" i="113"/>
  <c r="I182" i="113"/>
  <c r="H182" i="113"/>
  <c r="G182" i="113"/>
  <c r="W182" i="113" s="1"/>
  <c r="F182" i="113"/>
  <c r="V182" i="113" s="1"/>
  <c r="U181" i="113"/>
  <c r="T181" i="113"/>
  <c r="S181" i="113"/>
  <c r="R181" i="113"/>
  <c r="Q181" i="113"/>
  <c r="P181" i="113"/>
  <c r="O181" i="113"/>
  <c r="N181" i="113"/>
  <c r="M181" i="113"/>
  <c r="L181" i="113"/>
  <c r="K181" i="113"/>
  <c r="J181" i="113"/>
  <c r="Z181" i="113" s="1"/>
  <c r="I181" i="113"/>
  <c r="Y181" i="113" s="1"/>
  <c r="H181" i="113"/>
  <c r="X181" i="113" s="1"/>
  <c r="G181" i="113"/>
  <c r="F181" i="113"/>
  <c r="U180" i="113"/>
  <c r="T180" i="113"/>
  <c r="S180" i="113"/>
  <c r="AA180" i="113" s="1"/>
  <c r="R180" i="113"/>
  <c r="Q180" i="113"/>
  <c r="Y180" i="113" s="1"/>
  <c r="P180" i="113"/>
  <c r="X180" i="113" s="1"/>
  <c r="O180" i="113"/>
  <c r="N180" i="113"/>
  <c r="V180" i="113" s="1"/>
  <c r="M180" i="113"/>
  <c r="AC180" i="113" s="1"/>
  <c r="L180" i="113"/>
  <c r="K180" i="113"/>
  <c r="J180" i="113"/>
  <c r="I180" i="113"/>
  <c r="H180" i="113"/>
  <c r="G180" i="113"/>
  <c r="F180" i="113"/>
  <c r="U179" i="113"/>
  <c r="AC179" i="113" s="1"/>
  <c r="T179" i="113"/>
  <c r="AB179" i="113" s="1"/>
  <c r="S179" i="113"/>
  <c r="AA179" i="113" s="1"/>
  <c r="R179" i="113"/>
  <c r="Z179" i="113" s="1"/>
  <c r="Q179" i="113"/>
  <c r="Y179" i="113" s="1"/>
  <c r="P179" i="113"/>
  <c r="X179" i="113" s="1"/>
  <c r="O179" i="113"/>
  <c r="N179" i="113"/>
  <c r="M179" i="113"/>
  <c r="L179" i="113"/>
  <c r="K179" i="113"/>
  <c r="J179" i="113"/>
  <c r="I179" i="113"/>
  <c r="H179" i="113"/>
  <c r="G179" i="113"/>
  <c r="W179" i="113" s="1"/>
  <c r="F179" i="113"/>
  <c r="V179" i="113" s="1"/>
  <c r="U178" i="113"/>
  <c r="AC178" i="113" s="1"/>
  <c r="T178" i="113"/>
  <c r="AB178" i="113" s="1"/>
  <c r="S178" i="113"/>
  <c r="R178" i="113"/>
  <c r="Q178" i="113"/>
  <c r="P178" i="113"/>
  <c r="O178" i="113"/>
  <c r="N178" i="113"/>
  <c r="V178" i="113" s="1"/>
  <c r="M178" i="113"/>
  <c r="L178" i="113"/>
  <c r="K178" i="113"/>
  <c r="J178" i="113"/>
  <c r="I178" i="113"/>
  <c r="H178" i="113"/>
  <c r="A178" i="113" s="1"/>
  <c r="G178" i="113"/>
  <c r="F178" i="113"/>
  <c r="U93" i="113"/>
  <c r="T93" i="113"/>
  <c r="S93" i="113"/>
  <c r="R93" i="113"/>
  <c r="Z93" i="113" s="1"/>
  <c r="Q93" i="113"/>
  <c r="Y93" i="113" s="1"/>
  <c r="P93" i="113"/>
  <c r="O93" i="113"/>
  <c r="W93" i="113" s="1"/>
  <c r="N93" i="113"/>
  <c r="V93" i="113" s="1"/>
  <c r="M93" i="113"/>
  <c r="L93" i="113"/>
  <c r="K93" i="113"/>
  <c r="J93" i="113"/>
  <c r="I93" i="113"/>
  <c r="H93" i="113"/>
  <c r="G93" i="113"/>
  <c r="F93" i="113"/>
  <c r="U92" i="113"/>
  <c r="T92" i="113"/>
  <c r="S92" i="113"/>
  <c r="R92" i="113"/>
  <c r="Z92" i="113" s="1"/>
  <c r="Q92" i="113"/>
  <c r="Y92" i="113" s="1"/>
  <c r="P92" i="113"/>
  <c r="X92" i="113" s="1"/>
  <c r="O92" i="113"/>
  <c r="N92" i="113"/>
  <c r="M92" i="113"/>
  <c r="L92" i="113"/>
  <c r="K92" i="113"/>
  <c r="J92" i="113"/>
  <c r="I92" i="113"/>
  <c r="H92" i="113"/>
  <c r="G92" i="113"/>
  <c r="F92" i="113"/>
  <c r="V92" i="113" s="1"/>
  <c r="U91" i="113"/>
  <c r="AC91" i="113" s="1"/>
  <c r="T91" i="113"/>
  <c r="AB91" i="113" s="1"/>
  <c r="S91" i="113"/>
  <c r="R91" i="113"/>
  <c r="Q91" i="113"/>
  <c r="P91" i="113"/>
  <c r="O91" i="113"/>
  <c r="W91" i="113" s="1"/>
  <c r="N91" i="113"/>
  <c r="V91" i="113" s="1"/>
  <c r="M91" i="113"/>
  <c r="L91" i="113"/>
  <c r="K91" i="113"/>
  <c r="AA91" i="113" s="1"/>
  <c r="J91" i="113"/>
  <c r="Z91" i="113" s="1"/>
  <c r="I91" i="113"/>
  <c r="Y91" i="113" s="1"/>
  <c r="H91" i="113"/>
  <c r="X91" i="113" s="1"/>
  <c r="G91" i="113"/>
  <c r="F91" i="113"/>
  <c r="U90" i="113"/>
  <c r="T90" i="113"/>
  <c r="S90" i="113"/>
  <c r="AA90" i="113" s="1"/>
  <c r="R90" i="113"/>
  <c r="Q90" i="113"/>
  <c r="Y90" i="113" s="1"/>
  <c r="P90" i="113"/>
  <c r="X90" i="113" s="1"/>
  <c r="O90" i="113"/>
  <c r="N90" i="113"/>
  <c r="M90" i="113"/>
  <c r="AC90" i="113" s="1"/>
  <c r="L90" i="113"/>
  <c r="AB90" i="113" s="1"/>
  <c r="K90" i="113"/>
  <c r="J90" i="113"/>
  <c r="I90" i="113"/>
  <c r="H90" i="113"/>
  <c r="G90" i="113"/>
  <c r="F90" i="113"/>
  <c r="U89" i="113"/>
  <c r="T89" i="113"/>
  <c r="AB89" i="113" s="1"/>
  <c r="S89" i="113"/>
  <c r="R89" i="113"/>
  <c r="Z89" i="113" s="1"/>
  <c r="Q89" i="113"/>
  <c r="P89" i="113"/>
  <c r="X89" i="113" s="1"/>
  <c r="O89" i="113"/>
  <c r="N89" i="113"/>
  <c r="M89" i="113"/>
  <c r="L89" i="113"/>
  <c r="K89" i="113"/>
  <c r="J89" i="113"/>
  <c r="I89" i="113"/>
  <c r="H89" i="113"/>
  <c r="G89" i="113"/>
  <c r="W89" i="113" s="1"/>
  <c r="F89" i="113"/>
  <c r="V89" i="113" s="1"/>
  <c r="U88" i="113"/>
  <c r="AC88" i="113" s="1"/>
  <c r="T88" i="113"/>
  <c r="AB88" i="113" s="1"/>
  <c r="S88" i="113"/>
  <c r="R88" i="113"/>
  <c r="Q88" i="113"/>
  <c r="P88" i="113"/>
  <c r="O88" i="113"/>
  <c r="N88" i="113"/>
  <c r="V88" i="113" s="1"/>
  <c r="M88" i="113"/>
  <c r="L88" i="113"/>
  <c r="K88" i="113"/>
  <c r="AA88" i="113" s="1"/>
  <c r="J88" i="113"/>
  <c r="Z88" i="113" s="1"/>
  <c r="I88" i="113"/>
  <c r="Y88" i="113" s="1"/>
  <c r="H88" i="113"/>
  <c r="G88" i="113"/>
  <c r="F88" i="113"/>
  <c r="U87" i="113"/>
  <c r="T87" i="113"/>
  <c r="S87" i="113"/>
  <c r="AA87" i="113" s="1"/>
  <c r="R87" i="113"/>
  <c r="Z87" i="113" s="1"/>
  <c r="Q87" i="113"/>
  <c r="Y87" i="113" s="1"/>
  <c r="P87" i="113"/>
  <c r="X87" i="113" s="1"/>
  <c r="O87" i="113"/>
  <c r="N87" i="113"/>
  <c r="V87" i="113" s="1"/>
  <c r="M87" i="113"/>
  <c r="AC87" i="113" s="1"/>
  <c r="L87" i="113"/>
  <c r="K87" i="113"/>
  <c r="J87" i="113"/>
  <c r="I87" i="113"/>
  <c r="H87" i="113"/>
  <c r="G87" i="113"/>
  <c r="F87" i="113"/>
  <c r="U86" i="113"/>
  <c r="T86" i="113"/>
  <c r="AB86" i="113" s="1"/>
  <c r="S86" i="113"/>
  <c r="R86" i="113"/>
  <c r="Q86" i="113"/>
  <c r="Y86" i="113" s="1"/>
  <c r="P86" i="113"/>
  <c r="X86" i="113" s="1"/>
  <c r="O86" i="113"/>
  <c r="N86" i="113"/>
  <c r="M86" i="113"/>
  <c r="L86" i="113"/>
  <c r="K86" i="113"/>
  <c r="J86" i="113"/>
  <c r="I86" i="113"/>
  <c r="H86" i="113"/>
  <c r="G86" i="113"/>
  <c r="F86" i="113"/>
  <c r="U85" i="113"/>
  <c r="AC85" i="113" s="1"/>
  <c r="T85" i="113"/>
  <c r="AB85" i="113" s="1"/>
  <c r="S85" i="113"/>
  <c r="R85" i="113"/>
  <c r="Q85" i="113"/>
  <c r="P85" i="113"/>
  <c r="O85" i="113"/>
  <c r="W85" i="113" s="1"/>
  <c r="N85" i="113"/>
  <c r="V85" i="113" s="1"/>
  <c r="M85" i="113"/>
  <c r="L85" i="113"/>
  <c r="K85" i="113"/>
  <c r="AA85" i="113" s="1"/>
  <c r="J85" i="113"/>
  <c r="Z85" i="113" s="1"/>
  <c r="I85" i="113"/>
  <c r="Y85" i="113" s="1"/>
  <c r="H85" i="113"/>
  <c r="X85" i="113" s="1"/>
  <c r="G85" i="113"/>
  <c r="F85" i="113"/>
  <c r="U84" i="113"/>
  <c r="T84" i="113"/>
  <c r="S84" i="113"/>
  <c r="R84" i="113"/>
  <c r="Z84" i="113" s="1"/>
  <c r="Q84" i="113"/>
  <c r="Y84" i="113" s="1"/>
  <c r="P84" i="113"/>
  <c r="X84" i="113" s="1"/>
  <c r="O84" i="113"/>
  <c r="N84" i="113"/>
  <c r="M84" i="113"/>
  <c r="AC84" i="113" s="1"/>
  <c r="L84" i="113"/>
  <c r="K84" i="113"/>
  <c r="J84" i="113"/>
  <c r="I84" i="113"/>
  <c r="H84" i="113"/>
  <c r="G84" i="113"/>
  <c r="F84" i="113"/>
  <c r="U83" i="113"/>
  <c r="T83" i="113"/>
  <c r="S83" i="113"/>
  <c r="R83" i="113"/>
  <c r="Z83" i="113" s="1"/>
  <c r="Q83" i="113"/>
  <c r="Y83" i="113" s="1"/>
  <c r="P83" i="113"/>
  <c r="X83" i="113" s="1"/>
  <c r="O83" i="113"/>
  <c r="N83" i="113"/>
  <c r="M83" i="113"/>
  <c r="L83" i="113"/>
  <c r="K83" i="113"/>
  <c r="J83" i="113"/>
  <c r="I83" i="113"/>
  <c r="H83" i="113"/>
  <c r="G83" i="113"/>
  <c r="W83" i="113" s="1"/>
  <c r="F83" i="113"/>
  <c r="V83" i="113" s="1"/>
  <c r="U82" i="113"/>
  <c r="AC82" i="113" s="1"/>
  <c r="T82" i="113"/>
  <c r="AB82" i="113" s="1"/>
  <c r="S82" i="113"/>
  <c r="R82" i="113"/>
  <c r="Q82" i="113"/>
  <c r="P82" i="113"/>
  <c r="O82" i="113"/>
  <c r="N82" i="113"/>
  <c r="V82" i="113" s="1"/>
  <c r="M82" i="113"/>
  <c r="L82" i="113"/>
  <c r="K82" i="113"/>
  <c r="AA82" i="113" s="1"/>
  <c r="J82" i="113"/>
  <c r="Z82" i="113" s="1"/>
  <c r="I82" i="113"/>
  <c r="Y82" i="113" s="1"/>
  <c r="H82" i="113"/>
  <c r="X82" i="113" s="1"/>
  <c r="G82" i="113"/>
  <c r="F82" i="113"/>
  <c r="U81" i="113"/>
  <c r="T81" i="113"/>
  <c r="S81" i="113"/>
  <c r="R81" i="113"/>
  <c r="Z81" i="113" s="1"/>
  <c r="Q81" i="113"/>
  <c r="Y81" i="113" s="1"/>
  <c r="P81" i="113"/>
  <c r="X81" i="113" s="1"/>
  <c r="O81" i="113"/>
  <c r="N81" i="113"/>
  <c r="V81" i="113" s="1"/>
  <c r="M81" i="113"/>
  <c r="AC81" i="113" s="1"/>
  <c r="L81" i="113"/>
  <c r="K81" i="113"/>
  <c r="J81" i="113"/>
  <c r="I81" i="113"/>
  <c r="H81" i="113"/>
  <c r="G81" i="113"/>
  <c r="F81" i="113"/>
  <c r="U80" i="113"/>
  <c r="AC80" i="113" s="1"/>
  <c r="T80" i="113"/>
  <c r="AB80" i="113" s="1"/>
  <c r="S80" i="113"/>
  <c r="R80" i="113"/>
  <c r="Q80" i="113"/>
  <c r="P80" i="113"/>
  <c r="X80" i="113" s="1"/>
  <c r="O80" i="113"/>
  <c r="N80" i="113"/>
  <c r="M80" i="113"/>
  <c r="L80" i="113"/>
  <c r="K80" i="113"/>
  <c r="J80" i="113"/>
  <c r="I80" i="113"/>
  <c r="H80" i="113"/>
  <c r="G80" i="113"/>
  <c r="W80" i="113" s="1"/>
  <c r="F80" i="113"/>
  <c r="U79" i="113"/>
  <c r="AC79" i="113" s="1"/>
  <c r="T79" i="113"/>
  <c r="S79" i="113"/>
  <c r="R79" i="113"/>
  <c r="Q79" i="113"/>
  <c r="P79" i="113"/>
  <c r="O79" i="113"/>
  <c r="W79" i="113" s="1"/>
  <c r="N79" i="113"/>
  <c r="M79" i="113"/>
  <c r="L79" i="113"/>
  <c r="K79" i="113"/>
  <c r="J79" i="113"/>
  <c r="I79" i="113"/>
  <c r="Y79" i="113" s="1"/>
  <c r="H79" i="113"/>
  <c r="G79" i="113"/>
  <c r="F79" i="113"/>
  <c r="U78" i="113"/>
  <c r="T78" i="113"/>
  <c r="S78" i="113"/>
  <c r="AA78" i="113" s="1"/>
  <c r="R78" i="113"/>
  <c r="Z78" i="113" s="1"/>
  <c r="Q78" i="113"/>
  <c r="Y78" i="113" s="1"/>
  <c r="P78" i="113"/>
  <c r="X78" i="113" s="1"/>
  <c r="O78" i="113"/>
  <c r="N78" i="113"/>
  <c r="V78" i="113" s="1"/>
  <c r="M78" i="113"/>
  <c r="L78" i="113"/>
  <c r="AB78" i="113" s="1"/>
  <c r="K78" i="113"/>
  <c r="J78" i="113"/>
  <c r="I78" i="113"/>
  <c r="H78" i="113"/>
  <c r="G78" i="113"/>
  <c r="F78" i="113"/>
  <c r="U77" i="113"/>
  <c r="AC77" i="113" s="1"/>
  <c r="T77" i="113"/>
  <c r="AB77" i="113" s="1"/>
  <c r="S77" i="113"/>
  <c r="R77" i="113"/>
  <c r="Z77" i="113" s="1"/>
  <c r="Q77" i="113"/>
  <c r="Y77" i="113" s="1"/>
  <c r="P77" i="113"/>
  <c r="X77" i="113" s="1"/>
  <c r="O77" i="113"/>
  <c r="N77" i="113"/>
  <c r="M77" i="113"/>
  <c r="L77" i="113"/>
  <c r="K77" i="113"/>
  <c r="J77" i="113"/>
  <c r="I77" i="113"/>
  <c r="H77" i="113"/>
  <c r="G77" i="113"/>
  <c r="W77" i="113" s="1"/>
  <c r="F77" i="113"/>
  <c r="V77" i="113" s="1"/>
  <c r="U76" i="113"/>
  <c r="AC76" i="113" s="1"/>
  <c r="T76" i="113"/>
  <c r="AB76" i="113" s="1"/>
  <c r="S76" i="113"/>
  <c r="R76" i="113"/>
  <c r="Q76" i="113"/>
  <c r="P76" i="113"/>
  <c r="O76" i="113"/>
  <c r="N76" i="113"/>
  <c r="M76" i="113"/>
  <c r="L76" i="113"/>
  <c r="K76" i="113"/>
  <c r="AA76" i="113" s="1"/>
  <c r="J76" i="113"/>
  <c r="I76" i="113"/>
  <c r="Y76" i="113" s="1"/>
  <c r="H76" i="113"/>
  <c r="G76" i="113"/>
  <c r="F76" i="113"/>
  <c r="U75" i="113"/>
  <c r="T75" i="113"/>
  <c r="S75" i="113"/>
  <c r="AA75" i="113" s="1"/>
  <c r="R75" i="113"/>
  <c r="Z75" i="113" s="1"/>
  <c r="Q75" i="113"/>
  <c r="P75" i="113"/>
  <c r="X75" i="113" s="1"/>
  <c r="O75" i="113"/>
  <c r="N75" i="113"/>
  <c r="V75" i="113" s="1"/>
  <c r="M75" i="113"/>
  <c r="AC75" i="113" s="1"/>
  <c r="L75" i="113"/>
  <c r="AB75" i="113" s="1"/>
  <c r="K75" i="113"/>
  <c r="J75" i="113"/>
  <c r="I75" i="113"/>
  <c r="H75" i="113"/>
  <c r="G75" i="113"/>
  <c r="F75" i="113"/>
  <c r="U74" i="113"/>
  <c r="AC74" i="113" s="1"/>
  <c r="T74" i="113"/>
  <c r="AB74" i="113" s="1"/>
  <c r="S74" i="113"/>
  <c r="AA74" i="113" s="1"/>
  <c r="R74" i="113"/>
  <c r="Z74" i="113" s="1"/>
  <c r="Q74" i="113"/>
  <c r="Y74" i="113" s="1"/>
  <c r="P74" i="113"/>
  <c r="X74" i="113" s="1"/>
  <c r="O74" i="113"/>
  <c r="N74" i="113"/>
  <c r="M74" i="113"/>
  <c r="L74" i="113"/>
  <c r="K74" i="113"/>
  <c r="J74" i="113"/>
  <c r="I74" i="113"/>
  <c r="H74" i="113"/>
  <c r="G74" i="113"/>
  <c r="F74" i="113"/>
  <c r="V74" i="113" s="1"/>
  <c r="U69" i="112"/>
  <c r="T69" i="112"/>
  <c r="S69" i="112"/>
  <c r="R69" i="112"/>
  <c r="Q69" i="112"/>
  <c r="P69" i="112"/>
  <c r="O69" i="112"/>
  <c r="N69" i="112"/>
  <c r="M69" i="112"/>
  <c r="L69" i="112"/>
  <c r="K69" i="112"/>
  <c r="J69" i="112"/>
  <c r="I69" i="112"/>
  <c r="H69" i="112"/>
  <c r="G69" i="112"/>
  <c r="F69" i="112"/>
  <c r="P44" i="112"/>
  <c r="O44" i="112"/>
  <c r="U44" i="112" s="1"/>
  <c r="N44" i="112"/>
  <c r="M44" i="112"/>
  <c r="L44" i="112"/>
  <c r="J44" i="112"/>
  <c r="V44" i="112" s="1"/>
  <c r="I44" i="112"/>
  <c r="H44" i="112"/>
  <c r="T44" i="112" s="1"/>
  <c r="G44" i="112"/>
  <c r="F44" i="112"/>
  <c r="P43" i="112"/>
  <c r="O43" i="112"/>
  <c r="N43" i="112"/>
  <c r="M43" i="112"/>
  <c r="L43" i="112"/>
  <c r="J43" i="112"/>
  <c r="I43" i="112"/>
  <c r="U43" i="112" s="1"/>
  <c r="H43" i="112"/>
  <c r="T43" i="112" s="1"/>
  <c r="G43" i="112"/>
  <c r="F43" i="112"/>
  <c r="R43" i="112" s="1"/>
  <c r="P42" i="112"/>
  <c r="V42" i="112" s="1"/>
  <c r="O42" i="112"/>
  <c r="U42" i="112" s="1"/>
  <c r="N42" i="112"/>
  <c r="M42" i="112"/>
  <c r="L42" i="112"/>
  <c r="J42" i="112"/>
  <c r="I42" i="112"/>
  <c r="H42" i="112"/>
  <c r="T42" i="112" s="1"/>
  <c r="G42" i="112"/>
  <c r="S42" i="112" s="1"/>
  <c r="F42" i="112"/>
  <c r="R42" i="112" s="1"/>
  <c r="P41" i="112"/>
  <c r="O41" i="112"/>
  <c r="U41" i="112" s="1"/>
  <c r="N41" i="112"/>
  <c r="M41" i="112"/>
  <c r="L41" i="112"/>
  <c r="J41" i="112"/>
  <c r="I41" i="112"/>
  <c r="H41" i="112"/>
  <c r="G41" i="112"/>
  <c r="F41" i="112"/>
  <c r="Q40" i="112"/>
  <c r="W40" i="112" s="1"/>
  <c r="P40" i="112"/>
  <c r="O40" i="112"/>
  <c r="U40" i="112" s="1"/>
  <c r="N40" i="112"/>
  <c r="M40" i="112"/>
  <c r="S40" i="112" s="1"/>
  <c r="L40" i="112"/>
  <c r="R40" i="112" s="1"/>
  <c r="K40" i="112"/>
  <c r="J40" i="112"/>
  <c r="I40" i="112"/>
  <c r="H40" i="112"/>
  <c r="G40" i="112"/>
  <c r="F40" i="112"/>
  <c r="B19" i="112"/>
  <c r="J17" i="112"/>
  <c r="I17" i="112"/>
  <c r="H17" i="112"/>
  <c r="G17" i="112"/>
  <c r="F17" i="112"/>
  <c r="J16" i="112"/>
  <c r="I16" i="112"/>
  <c r="H16" i="112"/>
  <c r="G16" i="112"/>
  <c r="F16" i="112"/>
  <c r="J15" i="112"/>
  <c r="I15" i="112"/>
  <c r="H15" i="112"/>
  <c r="G15" i="112"/>
  <c r="F15" i="112"/>
  <c r="J14" i="112"/>
  <c r="I14" i="112"/>
  <c r="H14" i="112"/>
  <c r="G14" i="112"/>
  <c r="F14" i="112"/>
  <c r="J13" i="112"/>
  <c r="I13" i="112"/>
  <c r="H13" i="112"/>
  <c r="G13" i="112"/>
  <c r="F13" i="112"/>
  <c r="J12" i="112"/>
  <c r="I12" i="112"/>
  <c r="H12" i="112"/>
  <c r="G12" i="112"/>
  <c r="F12" i="112"/>
  <c r="J11" i="112"/>
  <c r="I11" i="112"/>
  <c r="H11" i="112"/>
  <c r="G11" i="112"/>
  <c r="F11" i="112"/>
  <c r="J10" i="112"/>
  <c r="I10" i="112"/>
  <c r="H10" i="112"/>
  <c r="G10" i="112"/>
  <c r="F10" i="112"/>
  <c r="J9" i="112"/>
  <c r="I9" i="112"/>
  <c r="H9" i="112"/>
  <c r="G9" i="112"/>
  <c r="F9" i="112"/>
  <c r="J8" i="112"/>
  <c r="I8" i="112"/>
  <c r="H8" i="112"/>
  <c r="G8" i="112"/>
  <c r="F8" i="112"/>
  <c r="D34" i="114"/>
  <c r="D33" i="114"/>
  <c r="D32" i="114"/>
  <c r="D31" i="114"/>
  <c r="D30" i="114"/>
  <c r="D29" i="114"/>
  <c r="D28" i="114"/>
  <c r="D27" i="114"/>
  <c r="D26" i="114"/>
  <c r="D25" i="114"/>
  <c r="D24" i="114"/>
  <c r="D23" i="114"/>
  <c r="D22" i="114"/>
  <c r="D21" i="114"/>
  <c r="D20" i="114"/>
  <c r="D19" i="114"/>
  <c r="D18" i="114"/>
  <c r="D17" i="114"/>
  <c r="D16" i="114"/>
  <c r="D15" i="114"/>
  <c r="D14" i="114"/>
  <c r="D13" i="114"/>
  <c r="D12" i="114"/>
  <c r="D11" i="114"/>
  <c r="D10" i="114"/>
  <c r="D9" i="114"/>
  <c r="D8" i="114"/>
  <c r="D7" i="114"/>
  <c r="D6" i="114"/>
  <c r="D5" i="114"/>
  <c r="D4" i="114"/>
  <c r="D3" i="114"/>
  <c r="A11" i="112"/>
  <c r="A28" i="112" s="1"/>
  <c r="A10" i="112"/>
  <c r="A27" i="112" s="1"/>
  <c r="A9" i="112"/>
  <c r="A26" i="112" s="1"/>
  <c r="A8" i="112"/>
  <c r="U177" i="113"/>
  <c r="T177" i="113"/>
  <c r="S177" i="113"/>
  <c r="R177" i="113"/>
  <c r="Q177" i="113"/>
  <c r="P177" i="113"/>
  <c r="O177" i="113"/>
  <c r="N177" i="113"/>
  <c r="V177" i="113" s="1"/>
  <c r="M177" i="113"/>
  <c r="L177" i="113"/>
  <c r="K177" i="113"/>
  <c r="J177" i="113"/>
  <c r="I177" i="113"/>
  <c r="H177" i="113"/>
  <c r="X177" i="113" s="1"/>
  <c r="G177" i="113"/>
  <c r="F177" i="113"/>
  <c r="U176" i="113"/>
  <c r="T176" i="113"/>
  <c r="S176" i="113"/>
  <c r="R176" i="113"/>
  <c r="Q176" i="113"/>
  <c r="Y176" i="113" s="1"/>
  <c r="P176" i="113"/>
  <c r="X176" i="113" s="1"/>
  <c r="O176" i="113"/>
  <c r="W176" i="113" s="1"/>
  <c r="N176" i="113"/>
  <c r="V176" i="113" s="1"/>
  <c r="M176" i="113"/>
  <c r="AC176" i="113" s="1"/>
  <c r="L176" i="113"/>
  <c r="AB176" i="113" s="1"/>
  <c r="K176" i="113"/>
  <c r="AA176" i="113" s="1"/>
  <c r="J176" i="113"/>
  <c r="I176" i="113"/>
  <c r="H176" i="113"/>
  <c r="G176" i="113"/>
  <c r="F176" i="113"/>
  <c r="U175" i="113"/>
  <c r="T175" i="113"/>
  <c r="AB175" i="113" s="1"/>
  <c r="S175" i="113"/>
  <c r="AA175" i="113" s="1"/>
  <c r="R175" i="113"/>
  <c r="Q175" i="113"/>
  <c r="P175" i="113"/>
  <c r="O175" i="113"/>
  <c r="N175" i="113"/>
  <c r="M175" i="113"/>
  <c r="L175" i="113"/>
  <c r="K175" i="113"/>
  <c r="J175" i="113"/>
  <c r="I175" i="113"/>
  <c r="H175" i="113"/>
  <c r="G175" i="113"/>
  <c r="F175" i="113"/>
  <c r="U174" i="113"/>
  <c r="T174" i="113"/>
  <c r="S174" i="113"/>
  <c r="R174" i="113"/>
  <c r="Q174" i="113"/>
  <c r="P174" i="113"/>
  <c r="O174" i="113"/>
  <c r="N174" i="113"/>
  <c r="M174" i="113"/>
  <c r="L174" i="113"/>
  <c r="K174" i="113"/>
  <c r="J174" i="113"/>
  <c r="I174" i="113"/>
  <c r="Y174" i="113" s="1"/>
  <c r="H174" i="113"/>
  <c r="X174" i="113" s="1"/>
  <c r="G174" i="113"/>
  <c r="W174" i="113" s="1"/>
  <c r="F174" i="113"/>
  <c r="U173" i="113"/>
  <c r="T173" i="113"/>
  <c r="S173" i="113"/>
  <c r="R173" i="113"/>
  <c r="Z173" i="113" s="1"/>
  <c r="Q173" i="113"/>
  <c r="Y173" i="113" s="1"/>
  <c r="P173" i="113"/>
  <c r="X173" i="113" s="1"/>
  <c r="O173" i="113"/>
  <c r="W173" i="113" s="1"/>
  <c r="N173" i="113"/>
  <c r="M173" i="113"/>
  <c r="AC173" i="113" s="1"/>
  <c r="L173" i="113"/>
  <c r="AB173" i="113" s="1"/>
  <c r="K173" i="113"/>
  <c r="J173" i="113"/>
  <c r="I173" i="113"/>
  <c r="H173" i="113"/>
  <c r="G173" i="113"/>
  <c r="F173" i="113"/>
  <c r="C173" i="113"/>
  <c r="C174" i="113" s="1"/>
  <c r="C175" i="113" s="1"/>
  <c r="C176" i="113" s="1"/>
  <c r="C177" i="113" s="1"/>
  <c r="U73" i="113"/>
  <c r="AC73" i="113" s="1"/>
  <c r="T73" i="113"/>
  <c r="AB73" i="113" s="1"/>
  <c r="S73" i="113"/>
  <c r="R73" i="113"/>
  <c r="Z73" i="113" s="1"/>
  <c r="Q73" i="113"/>
  <c r="Y73" i="113" s="1"/>
  <c r="P73" i="113"/>
  <c r="X73" i="113" s="1"/>
  <c r="O73" i="113"/>
  <c r="N73" i="113"/>
  <c r="M73" i="113"/>
  <c r="L73" i="113"/>
  <c r="K73" i="113"/>
  <c r="J73" i="113"/>
  <c r="I73" i="113"/>
  <c r="H73" i="113"/>
  <c r="G73" i="113"/>
  <c r="W73" i="113" s="1"/>
  <c r="F73" i="113"/>
  <c r="U72" i="113"/>
  <c r="AC72" i="113" s="1"/>
  <c r="T72" i="113"/>
  <c r="AB72" i="113" s="1"/>
  <c r="S72" i="113"/>
  <c r="R72" i="113"/>
  <c r="Q72" i="113"/>
  <c r="P72" i="113"/>
  <c r="O72" i="113"/>
  <c r="N72" i="113"/>
  <c r="V72" i="113" s="1"/>
  <c r="M72" i="113"/>
  <c r="L72" i="113"/>
  <c r="K72" i="113"/>
  <c r="AA72" i="113" s="1"/>
  <c r="J72" i="113"/>
  <c r="I72" i="113"/>
  <c r="Y72" i="113" s="1"/>
  <c r="H72" i="113"/>
  <c r="G72" i="113"/>
  <c r="F72" i="113"/>
  <c r="U71" i="113"/>
  <c r="T71" i="113"/>
  <c r="S71" i="113"/>
  <c r="AA71" i="113" s="1"/>
  <c r="R71" i="113"/>
  <c r="Z71" i="113" s="1"/>
  <c r="Q71" i="113"/>
  <c r="Y71" i="113" s="1"/>
  <c r="P71" i="113"/>
  <c r="O71" i="113"/>
  <c r="N71" i="113"/>
  <c r="V71" i="113" s="1"/>
  <c r="M71" i="113"/>
  <c r="AC71" i="113" s="1"/>
  <c r="L71" i="113"/>
  <c r="K71" i="113"/>
  <c r="J71" i="113"/>
  <c r="I71" i="113"/>
  <c r="H71" i="113"/>
  <c r="G71" i="113"/>
  <c r="F71" i="113"/>
  <c r="U70" i="113"/>
  <c r="AC70" i="113" s="1"/>
  <c r="T70" i="113"/>
  <c r="AB70" i="113" s="1"/>
  <c r="S70" i="113"/>
  <c r="R70" i="113"/>
  <c r="Q70" i="113"/>
  <c r="Y70" i="113" s="1"/>
  <c r="P70" i="113"/>
  <c r="O70" i="113"/>
  <c r="N70" i="113"/>
  <c r="M70" i="113"/>
  <c r="L70" i="113"/>
  <c r="K70" i="113"/>
  <c r="J70" i="113"/>
  <c r="I70" i="113"/>
  <c r="H70" i="113"/>
  <c r="G70" i="113"/>
  <c r="F70" i="113"/>
  <c r="V70" i="113" s="1"/>
  <c r="U69" i="113"/>
  <c r="T69" i="113"/>
  <c r="S69" i="113"/>
  <c r="R69" i="113"/>
  <c r="Q69" i="113"/>
  <c r="P69" i="113"/>
  <c r="O69" i="113"/>
  <c r="W69" i="113" s="1"/>
  <c r="N69" i="113"/>
  <c r="M69" i="113"/>
  <c r="L69" i="113"/>
  <c r="K69" i="113"/>
  <c r="J69" i="113"/>
  <c r="Z69" i="113" s="1"/>
  <c r="I69" i="113"/>
  <c r="Y69" i="113" s="1"/>
  <c r="H69" i="113"/>
  <c r="G69" i="113"/>
  <c r="F69" i="113"/>
  <c r="U68" i="113"/>
  <c r="T68" i="113"/>
  <c r="S68" i="113"/>
  <c r="R68" i="113"/>
  <c r="Z68" i="113" s="1"/>
  <c r="Q68" i="113"/>
  <c r="Y68" i="113" s="1"/>
  <c r="P68" i="113"/>
  <c r="X68" i="113" s="1"/>
  <c r="O68" i="113"/>
  <c r="N68" i="113"/>
  <c r="V68" i="113" s="1"/>
  <c r="M68" i="113"/>
  <c r="AC68" i="113" s="1"/>
  <c r="L68" i="113"/>
  <c r="K68" i="113"/>
  <c r="J68" i="113"/>
  <c r="I68" i="113"/>
  <c r="H68" i="113"/>
  <c r="G68" i="113"/>
  <c r="F68" i="113"/>
  <c r="U67" i="113"/>
  <c r="AC67" i="113" s="1"/>
  <c r="T67" i="113"/>
  <c r="AB67" i="113" s="1"/>
  <c r="S67" i="113"/>
  <c r="AA67" i="113" s="1"/>
  <c r="R67" i="113"/>
  <c r="Z67" i="113" s="1"/>
  <c r="Q67" i="113"/>
  <c r="Y67" i="113" s="1"/>
  <c r="P67" i="113"/>
  <c r="X67" i="113" s="1"/>
  <c r="O67" i="113"/>
  <c r="N67" i="113"/>
  <c r="M67" i="113"/>
  <c r="L67" i="113"/>
  <c r="K67" i="113"/>
  <c r="J67" i="113"/>
  <c r="I67" i="113"/>
  <c r="H67" i="113"/>
  <c r="G67" i="113"/>
  <c r="F67" i="113"/>
  <c r="U66" i="113"/>
  <c r="AC66" i="113" s="1"/>
  <c r="T66" i="113"/>
  <c r="AB66" i="113" s="1"/>
  <c r="S66" i="113"/>
  <c r="R66" i="113"/>
  <c r="Q66" i="113"/>
  <c r="P66" i="113"/>
  <c r="O66" i="113"/>
  <c r="N66" i="113"/>
  <c r="V66" i="113" s="1"/>
  <c r="M66" i="113"/>
  <c r="L66" i="113"/>
  <c r="K66" i="113"/>
  <c r="J66" i="113"/>
  <c r="I66" i="113"/>
  <c r="Y66" i="113" s="1"/>
  <c r="H66" i="113"/>
  <c r="X66" i="113" s="1"/>
  <c r="G66" i="113"/>
  <c r="F66" i="113"/>
  <c r="U65" i="113"/>
  <c r="T65" i="113"/>
  <c r="S65" i="113"/>
  <c r="AA65" i="113" s="1"/>
  <c r="R65" i="113"/>
  <c r="Z65" i="113" s="1"/>
  <c r="Q65" i="113"/>
  <c r="P65" i="113"/>
  <c r="X65" i="113" s="1"/>
  <c r="O65" i="113"/>
  <c r="N65" i="113"/>
  <c r="V65" i="113" s="1"/>
  <c r="M65" i="113"/>
  <c r="AC65" i="113" s="1"/>
  <c r="L65" i="113"/>
  <c r="K65" i="113"/>
  <c r="J65" i="113"/>
  <c r="I65" i="113"/>
  <c r="H65" i="113"/>
  <c r="G65" i="113"/>
  <c r="F65" i="113"/>
  <c r="U64" i="113"/>
  <c r="AC64" i="113" s="1"/>
  <c r="T64" i="113"/>
  <c r="AB64" i="113" s="1"/>
  <c r="S64" i="113"/>
  <c r="R64" i="113"/>
  <c r="Z64" i="113" s="1"/>
  <c r="Q64" i="113"/>
  <c r="Y64" i="113" s="1"/>
  <c r="P64" i="113"/>
  <c r="X64" i="113" s="1"/>
  <c r="O64" i="113"/>
  <c r="N64" i="113"/>
  <c r="M64" i="113"/>
  <c r="L64" i="113"/>
  <c r="K64" i="113"/>
  <c r="J64" i="113"/>
  <c r="I64" i="113"/>
  <c r="H64" i="113"/>
  <c r="G64" i="113"/>
  <c r="W64" i="113" s="1"/>
  <c r="F64" i="113"/>
  <c r="V64" i="113" s="1"/>
  <c r="U63" i="113"/>
  <c r="AC63" i="113" s="1"/>
  <c r="T63" i="113"/>
  <c r="AB63" i="113" s="1"/>
  <c r="S63" i="113"/>
  <c r="R63" i="113"/>
  <c r="Q63" i="113"/>
  <c r="P63" i="113"/>
  <c r="O63" i="113"/>
  <c r="W63" i="113" s="1"/>
  <c r="N63" i="113"/>
  <c r="V63" i="113" s="1"/>
  <c r="M63" i="113"/>
  <c r="L63" i="113"/>
  <c r="K63" i="113"/>
  <c r="AA63" i="113" s="1"/>
  <c r="J63" i="113"/>
  <c r="Z63" i="113" s="1"/>
  <c r="I63" i="113"/>
  <c r="Y63" i="113" s="1"/>
  <c r="H63" i="113"/>
  <c r="G63" i="113"/>
  <c r="F63" i="113"/>
  <c r="U62" i="113"/>
  <c r="T62" i="113"/>
  <c r="S62" i="113"/>
  <c r="AA62" i="113" s="1"/>
  <c r="R62" i="113"/>
  <c r="Q62" i="113"/>
  <c r="P62" i="113"/>
  <c r="O62" i="113"/>
  <c r="N62" i="113"/>
  <c r="V62" i="113" s="1"/>
  <c r="M62" i="113"/>
  <c r="AC62" i="113" s="1"/>
  <c r="L62" i="113"/>
  <c r="K62" i="113"/>
  <c r="J62" i="113"/>
  <c r="I62" i="113"/>
  <c r="H62" i="113"/>
  <c r="G62" i="113"/>
  <c r="F62" i="113"/>
  <c r="U61" i="113"/>
  <c r="AC61" i="113" s="1"/>
  <c r="T61" i="113"/>
  <c r="AB61" i="113" s="1"/>
  <c r="S61" i="113"/>
  <c r="AA61" i="113" s="1"/>
  <c r="R61" i="113"/>
  <c r="Z61" i="113" s="1"/>
  <c r="Q61" i="113"/>
  <c r="Y61" i="113" s="1"/>
  <c r="P61" i="113"/>
  <c r="X61" i="113" s="1"/>
  <c r="O61" i="113"/>
  <c r="N61" i="113"/>
  <c r="M61" i="113"/>
  <c r="L61" i="113"/>
  <c r="K61" i="113"/>
  <c r="J61" i="113"/>
  <c r="I61" i="113"/>
  <c r="H61" i="113"/>
  <c r="G61" i="113"/>
  <c r="F61" i="113"/>
  <c r="V61" i="113" s="1"/>
  <c r="U60" i="113"/>
  <c r="AC60" i="113" s="1"/>
  <c r="T60" i="113"/>
  <c r="AB60" i="113" s="1"/>
  <c r="S60" i="113"/>
  <c r="R60" i="113"/>
  <c r="Q60" i="113"/>
  <c r="P60" i="113"/>
  <c r="O60" i="113"/>
  <c r="N60" i="113"/>
  <c r="M60" i="113"/>
  <c r="L60" i="113"/>
  <c r="K60" i="113"/>
  <c r="AA60" i="113" s="1"/>
  <c r="J60" i="113"/>
  <c r="Z60" i="113" s="1"/>
  <c r="I60" i="113"/>
  <c r="Y60" i="113" s="1"/>
  <c r="H60" i="113"/>
  <c r="G60" i="113"/>
  <c r="F60" i="113"/>
  <c r="U59" i="113"/>
  <c r="T59" i="113"/>
  <c r="S59" i="113"/>
  <c r="R59" i="113"/>
  <c r="Z59" i="113" s="1"/>
  <c r="Q59" i="113"/>
  <c r="P59" i="113"/>
  <c r="X59" i="113" s="1"/>
  <c r="O59" i="113"/>
  <c r="N59" i="113"/>
  <c r="V59" i="113" s="1"/>
  <c r="M59" i="113"/>
  <c r="AC59" i="113" s="1"/>
  <c r="L59" i="113"/>
  <c r="AB59" i="113" s="1"/>
  <c r="K59" i="113"/>
  <c r="J59" i="113"/>
  <c r="I59" i="113"/>
  <c r="H59" i="113"/>
  <c r="G59" i="113"/>
  <c r="F59" i="113"/>
  <c r="U58" i="113"/>
  <c r="AC58" i="113" s="1"/>
  <c r="T58" i="113"/>
  <c r="AB58" i="113" s="1"/>
  <c r="S58" i="113"/>
  <c r="R58" i="113"/>
  <c r="Z58" i="113" s="1"/>
  <c r="Q58" i="113"/>
  <c r="Y58" i="113" s="1"/>
  <c r="P58" i="113"/>
  <c r="X58" i="113" s="1"/>
  <c r="O58" i="113"/>
  <c r="N58" i="113"/>
  <c r="M58" i="113"/>
  <c r="L58" i="113"/>
  <c r="K58" i="113"/>
  <c r="J58" i="113"/>
  <c r="I58" i="113"/>
  <c r="H58" i="113"/>
  <c r="G58" i="113"/>
  <c r="F58" i="113"/>
  <c r="U57" i="113"/>
  <c r="AC57" i="113" s="1"/>
  <c r="T57" i="113"/>
  <c r="AB57" i="113" s="1"/>
  <c r="S57" i="113"/>
  <c r="R57" i="113"/>
  <c r="Q57" i="113"/>
  <c r="P57" i="113"/>
  <c r="O57" i="113"/>
  <c r="N57" i="113"/>
  <c r="V57" i="113" s="1"/>
  <c r="M57" i="113"/>
  <c r="L57" i="113"/>
  <c r="K57" i="113"/>
  <c r="AA57" i="113" s="1"/>
  <c r="J57" i="113"/>
  <c r="Z57" i="113" s="1"/>
  <c r="I57" i="113"/>
  <c r="Y57" i="113" s="1"/>
  <c r="H57" i="113"/>
  <c r="X57" i="113" s="1"/>
  <c r="G57" i="113"/>
  <c r="F57" i="113"/>
  <c r="U56" i="113"/>
  <c r="T56" i="113"/>
  <c r="S56" i="113"/>
  <c r="R56" i="113"/>
  <c r="Z56" i="113" s="1"/>
  <c r="Q56" i="113"/>
  <c r="P56" i="113"/>
  <c r="O56" i="113"/>
  <c r="N56" i="113"/>
  <c r="V56" i="113" s="1"/>
  <c r="M56" i="113"/>
  <c r="AC56" i="113" s="1"/>
  <c r="L56" i="113"/>
  <c r="K56" i="113"/>
  <c r="J56" i="113"/>
  <c r="I56" i="113"/>
  <c r="H56" i="113"/>
  <c r="G56" i="113"/>
  <c r="F56" i="113"/>
  <c r="U55" i="113"/>
  <c r="T55" i="113"/>
  <c r="AB55" i="113" s="1"/>
  <c r="S55" i="113"/>
  <c r="AA55" i="113" s="1"/>
  <c r="R55" i="113"/>
  <c r="Z55" i="113" s="1"/>
  <c r="Q55" i="113"/>
  <c r="Y55" i="113" s="1"/>
  <c r="P55" i="113"/>
  <c r="X55" i="113" s="1"/>
  <c r="O55" i="113"/>
  <c r="N55" i="113"/>
  <c r="M55" i="113"/>
  <c r="L55" i="113"/>
  <c r="K55" i="113"/>
  <c r="J55" i="113"/>
  <c r="I55" i="113"/>
  <c r="H55" i="113"/>
  <c r="G55" i="113"/>
  <c r="F55" i="113"/>
  <c r="U54" i="113"/>
  <c r="AC54" i="113" s="1"/>
  <c r="T54" i="113"/>
  <c r="AB54" i="113" s="1"/>
  <c r="S54" i="113"/>
  <c r="R54" i="113"/>
  <c r="Q54" i="113"/>
  <c r="P54" i="113"/>
  <c r="O54" i="113"/>
  <c r="W54" i="113" s="1"/>
  <c r="N54" i="113"/>
  <c r="V54" i="113" s="1"/>
  <c r="M54" i="113"/>
  <c r="L54" i="113"/>
  <c r="K54" i="113"/>
  <c r="AA54" i="113" s="1"/>
  <c r="J54" i="113"/>
  <c r="Z54" i="113" s="1"/>
  <c r="I54" i="113"/>
  <c r="Y54" i="113" s="1"/>
  <c r="H54" i="113"/>
  <c r="X54" i="113" s="1"/>
  <c r="G54" i="113"/>
  <c r="F54" i="113"/>
  <c r="C54" i="113"/>
  <c r="U68" i="112"/>
  <c r="T68" i="112"/>
  <c r="S68" i="112"/>
  <c r="R68" i="112"/>
  <c r="Q68" i="112"/>
  <c r="P68" i="112"/>
  <c r="O68" i="112"/>
  <c r="N68" i="112"/>
  <c r="M68" i="112"/>
  <c r="L68" i="112"/>
  <c r="K68" i="112"/>
  <c r="J68" i="112"/>
  <c r="I68" i="112"/>
  <c r="H68" i="112"/>
  <c r="G68" i="112"/>
  <c r="F68" i="112"/>
  <c r="P39" i="112"/>
  <c r="V39" i="112" s="1"/>
  <c r="O39" i="112"/>
  <c r="U39" i="112" s="1"/>
  <c r="N39" i="112"/>
  <c r="T39" i="112" s="1"/>
  <c r="M39" i="112"/>
  <c r="S39" i="112" s="1"/>
  <c r="L39" i="112"/>
  <c r="J39" i="112"/>
  <c r="I39" i="112"/>
  <c r="H39" i="112"/>
  <c r="G39" i="112"/>
  <c r="F39" i="112"/>
  <c r="P38" i="112"/>
  <c r="O38" i="112"/>
  <c r="U38" i="112" s="1"/>
  <c r="N38" i="112"/>
  <c r="T38" i="112" s="1"/>
  <c r="M38" i="112"/>
  <c r="L38" i="112"/>
  <c r="J38" i="112"/>
  <c r="I38" i="112"/>
  <c r="H38" i="112"/>
  <c r="G38" i="112"/>
  <c r="F38" i="112"/>
  <c r="P37" i="112"/>
  <c r="O37" i="112"/>
  <c r="N37" i="112"/>
  <c r="M37" i="112"/>
  <c r="L37" i="112"/>
  <c r="R37" i="112" s="1"/>
  <c r="J37" i="112"/>
  <c r="I37" i="112"/>
  <c r="U37" i="112" s="1"/>
  <c r="H37" i="112"/>
  <c r="G37" i="112"/>
  <c r="F37" i="112"/>
  <c r="P36" i="112"/>
  <c r="O36" i="112"/>
  <c r="N36" i="112"/>
  <c r="T36" i="112" s="1"/>
  <c r="M36" i="112"/>
  <c r="L36" i="112"/>
  <c r="J36" i="112"/>
  <c r="V36" i="112" s="1"/>
  <c r="I36" i="112"/>
  <c r="U36" i="112" s="1"/>
  <c r="H36" i="112"/>
  <c r="G36" i="112"/>
  <c r="S36" i="112" s="1"/>
  <c r="F36" i="112"/>
  <c r="R36" i="112" s="1"/>
  <c r="Q35" i="112"/>
  <c r="W35" i="112" s="1"/>
  <c r="P35" i="112"/>
  <c r="O35" i="112"/>
  <c r="N35" i="112"/>
  <c r="M35" i="112"/>
  <c r="L35" i="112"/>
  <c r="K35" i="112"/>
  <c r="J35" i="112"/>
  <c r="V35" i="112" s="1"/>
  <c r="I35" i="112"/>
  <c r="H35" i="112"/>
  <c r="G35" i="112"/>
  <c r="F35" i="112"/>
  <c r="R35" i="112" s="1"/>
  <c r="C35" i="112"/>
  <c r="C5" i="112"/>
  <c r="U172" i="113"/>
  <c r="T172" i="113"/>
  <c r="S172" i="113"/>
  <c r="R172" i="113"/>
  <c r="Z172" i="113" s="1"/>
  <c r="Q172" i="113"/>
  <c r="P172" i="113"/>
  <c r="O172" i="113"/>
  <c r="N172" i="113"/>
  <c r="M172" i="113"/>
  <c r="AC172" i="113" s="1"/>
  <c r="L172" i="113"/>
  <c r="AB172" i="113" s="1"/>
  <c r="K172" i="113"/>
  <c r="AA172" i="113" s="1"/>
  <c r="J172" i="113"/>
  <c r="I172" i="113"/>
  <c r="H172" i="113"/>
  <c r="G172" i="113"/>
  <c r="F172" i="113"/>
  <c r="U171" i="113"/>
  <c r="T171" i="113"/>
  <c r="AB171" i="113" s="1"/>
  <c r="S171" i="113"/>
  <c r="AA171" i="113" s="1"/>
  <c r="R171" i="113"/>
  <c r="Q171" i="113"/>
  <c r="P171" i="113"/>
  <c r="X171" i="113" s="1"/>
  <c r="O171" i="113"/>
  <c r="W171" i="113" s="1"/>
  <c r="N171" i="113"/>
  <c r="M171" i="113"/>
  <c r="L171" i="113"/>
  <c r="K171" i="113"/>
  <c r="J171" i="113"/>
  <c r="I171" i="113"/>
  <c r="H171" i="113"/>
  <c r="G171" i="113"/>
  <c r="F171" i="113"/>
  <c r="V171" i="113" s="1"/>
  <c r="U170" i="113"/>
  <c r="T170" i="113"/>
  <c r="AB170" i="113" s="1"/>
  <c r="S170" i="113"/>
  <c r="AA170" i="113" s="1"/>
  <c r="R170" i="113"/>
  <c r="Q170" i="113"/>
  <c r="P170" i="113"/>
  <c r="O170" i="113"/>
  <c r="N170" i="113"/>
  <c r="V170" i="113" s="1"/>
  <c r="M170" i="113"/>
  <c r="L170" i="113"/>
  <c r="K170" i="113"/>
  <c r="J170" i="113"/>
  <c r="Z170" i="113" s="1"/>
  <c r="I170" i="113"/>
  <c r="Y170" i="113" s="1"/>
  <c r="H170" i="113"/>
  <c r="X170" i="113" s="1"/>
  <c r="G170" i="113"/>
  <c r="F170" i="113"/>
  <c r="U169" i="113"/>
  <c r="T169" i="113"/>
  <c r="S169" i="113"/>
  <c r="R169" i="113"/>
  <c r="Z169" i="113" s="1"/>
  <c r="Q169" i="113"/>
  <c r="Y169" i="113" s="1"/>
  <c r="P169" i="113"/>
  <c r="O169" i="113"/>
  <c r="N169" i="113"/>
  <c r="M169" i="113"/>
  <c r="L169" i="113"/>
  <c r="AB169" i="113" s="1"/>
  <c r="K169" i="113"/>
  <c r="J169" i="113"/>
  <c r="I169" i="113"/>
  <c r="H169" i="113"/>
  <c r="G169" i="113"/>
  <c r="F169" i="113"/>
  <c r="U168" i="113"/>
  <c r="AC168" i="113" s="1"/>
  <c r="T168" i="113"/>
  <c r="S168" i="113"/>
  <c r="R168" i="113"/>
  <c r="Q168" i="113"/>
  <c r="P168" i="113"/>
  <c r="X168" i="113" s="1"/>
  <c r="O168" i="113"/>
  <c r="W168" i="113" s="1"/>
  <c r="N168" i="113"/>
  <c r="M168" i="113"/>
  <c r="L168" i="113"/>
  <c r="K168" i="113"/>
  <c r="J168" i="113"/>
  <c r="I168" i="113"/>
  <c r="H168" i="113"/>
  <c r="G168" i="113"/>
  <c r="F168" i="113"/>
  <c r="V168" i="113" s="1"/>
  <c r="C168" i="113"/>
  <c r="C169" i="113" s="1"/>
  <c r="U53" i="113"/>
  <c r="AC53" i="113" s="1"/>
  <c r="T53" i="113"/>
  <c r="AB53" i="113" s="1"/>
  <c r="S53" i="113"/>
  <c r="R53" i="113"/>
  <c r="Q53" i="113"/>
  <c r="P53" i="113"/>
  <c r="O53" i="113"/>
  <c r="N53" i="113"/>
  <c r="V53" i="113" s="1"/>
  <c r="M53" i="113"/>
  <c r="L53" i="113"/>
  <c r="K53" i="113"/>
  <c r="AA53" i="113" s="1"/>
  <c r="J53" i="113"/>
  <c r="I53" i="113"/>
  <c r="Y53" i="113" s="1"/>
  <c r="H53" i="113"/>
  <c r="G53" i="113"/>
  <c r="F53" i="113"/>
  <c r="U52" i="113"/>
  <c r="T52" i="113"/>
  <c r="S52" i="113"/>
  <c r="R52" i="113"/>
  <c r="Z52" i="113" s="1"/>
  <c r="Q52" i="113"/>
  <c r="Y52" i="113" s="1"/>
  <c r="P52" i="113"/>
  <c r="X52" i="113" s="1"/>
  <c r="O52" i="113"/>
  <c r="N52" i="113"/>
  <c r="M52" i="113"/>
  <c r="AC52" i="113" s="1"/>
  <c r="L52" i="113"/>
  <c r="K52" i="113"/>
  <c r="J52" i="113"/>
  <c r="I52" i="113"/>
  <c r="H52" i="113"/>
  <c r="G52" i="113"/>
  <c r="F52" i="113"/>
  <c r="U51" i="113"/>
  <c r="AC51" i="113" s="1"/>
  <c r="T51" i="113"/>
  <c r="AB51" i="113" s="1"/>
  <c r="S51" i="113"/>
  <c r="R51" i="113"/>
  <c r="Z51" i="113" s="1"/>
  <c r="Q51" i="113"/>
  <c r="Y51" i="113" s="1"/>
  <c r="P51" i="113"/>
  <c r="X51" i="113" s="1"/>
  <c r="O51" i="113"/>
  <c r="N51" i="113"/>
  <c r="M51" i="113"/>
  <c r="L51" i="113"/>
  <c r="K51" i="113"/>
  <c r="J51" i="113"/>
  <c r="I51" i="113"/>
  <c r="H51" i="113"/>
  <c r="G51" i="113"/>
  <c r="F51" i="113"/>
  <c r="V51" i="113" s="1"/>
  <c r="U50" i="113"/>
  <c r="AC50" i="113" s="1"/>
  <c r="T50" i="113"/>
  <c r="S50" i="113"/>
  <c r="R50" i="113"/>
  <c r="Q50" i="113"/>
  <c r="P50" i="113"/>
  <c r="O50" i="113"/>
  <c r="W50" i="113" s="1"/>
  <c r="N50" i="113"/>
  <c r="M50" i="113"/>
  <c r="L50" i="113"/>
  <c r="K50" i="113"/>
  <c r="J50" i="113"/>
  <c r="I50" i="113"/>
  <c r="Y50" i="113" s="1"/>
  <c r="H50" i="113"/>
  <c r="X50" i="113" s="1"/>
  <c r="G50" i="113"/>
  <c r="F50" i="113"/>
  <c r="U49" i="113"/>
  <c r="T49" i="113"/>
  <c r="S49" i="113"/>
  <c r="AA49" i="113" s="1"/>
  <c r="R49" i="113"/>
  <c r="Z49" i="113" s="1"/>
  <c r="Q49" i="113"/>
  <c r="Y49" i="113" s="1"/>
  <c r="P49" i="113"/>
  <c r="X49" i="113" s="1"/>
  <c r="O49" i="113"/>
  <c r="N49" i="113"/>
  <c r="M49" i="113"/>
  <c r="AC49" i="113" s="1"/>
  <c r="L49" i="113"/>
  <c r="K49" i="113"/>
  <c r="J49" i="113"/>
  <c r="I49" i="113"/>
  <c r="H49" i="113"/>
  <c r="G49" i="113"/>
  <c r="F49" i="113"/>
  <c r="U48" i="113"/>
  <c r="AC48" i="113" s="1"/>
  <c r="T48" i="113"/>
  <c r="AB48" i="113" s="1"/>
  <c r="S48" i="113"/>
  <c r="R48" i="113"/>
  <c r="Q48" i="113"/>
  <c r="Y48" i="113" s="1"/>
  <c r="P48" i="113"/>
  <c r="X48" i="113" s="1"/>
  <c r="O48" i="113"/>
  <c r="N48" i="113"/>
  <c r="M48" i="113"/>
  <c r="L48" i="113"/>
  <c r="K48" i="113"/>
  <c r="J48" i="113"/>
  <c r="I48" i="113"/>
  <c r="H48" i="113"/>
  <c r="G48" i="113"/>
  <c r="W48" i="113" s="1"/>
  <c r="F48" i="113"/>
  <c r="V48" i="113" s="1"/>
  <c r="U47" i="113"/>
  <c r="AC47" i="113" s="1"/>
  <c r="T47" i="113"/>
  <c r="S47" i="113"/>
  <c r="R47" i="113"/>
  <c r="Q47" i="113"/>
  <c r="P47" i="113"/>
  <c r="O47" i="113"/>
  <c r="W47" i="113" s="1"/>
  <c r="N47" i="113"/>
  <c r="V47" i="113" s="1"/>
  <c r="M47" i="113"/>
  <c r="L47" i="113"/>
  <c r="K47" i="113"/>
  <c r="AA47" i="113" s="1"/>
  <c r="J47" i="113"/>
  <c r="I47" i="113"/>
  <c r="Y47" i="113" s="1"/>
  <c r="H47" i="113"/>
  <c r="G47" i="113"/>
  <c r="F47" i="113"/>
  <c r="U46" i="113"/>
  <c r="T46" i="113"/>
  <c r="S46" i="113"/>
  <c r="R46" i="113"/>
  <c r="Z46" i="113" s="1"/>
  <c r="Q46" i="113"/>
  <c r="Y46" i="113" s="1"/>
  <c r="P46" i="113"/>
  <c r="X46" i="113" s="1"/>
  <c r="O46" i="113"/>
  <c r="W46" i="113" s="1"/>
  <c r="N46" i="113"/>
  <c r="V46" i="113" s="1"/>
  <c r="M46" i="113"/>
  <c r="AC46" i="113" s="1"/>
  <c r="L46" i="113"/>
  <c r="AB46" i="113" s="1"/>
  <c r="K46" i="113"/>
  <c r="J46" i="113"/>
  <c r="I46" i="113"/>
  <c r="H46" i="113"/>
  <c r="G46" i="113"/>
  <c r="F46" i="113"/>
  <c r="U45" i="113"/>
  <c r="AC45" i="113" s="1"/>
  <c r="T45" i="113"/>
  <c r="S45" i="113"/>
  <c r="R45" i="113"/>
  <c r="Q45" i="113"/>
  <c r="Y45" i="113" s="1"/>
  <c r="P45" i="113"/>
  <c r="X45" i="113" s="1"/>
  <c r="O45" i="113"/>
  <c r="N45" i="113"/>
  <c r="M45" i="113"/>
  <c r="L45" i="113"/>
  <c r="K45" i="113"/>
  <c r="J45" i="113"/>
  <c r="I45" i="113"/>
  <c r="H45" i="113"/>
  <c r="G45" i="113"/>
  <c r="F45" i="113"/>
  <c r="V45" i="113" s="1"/>
  <c r="U44" i="113"/>
  <c r="AC44" i="113" s="1"/>
  <c r="T44" i="113"/>
  <c r="AB44" i="113" s="1"/>
  <c r="S44" i="113"/>
  <c r="R44" i="113"/>
  <c r="Q44" i="113"/>
  <c r="P44" i="113"/>
  <c r="O44" i="113"/>
  <c r="N44" i="113"/>
  <c r="M44" i="113"/>
  <c r="L44" i="113"/>
  <c r="K44" i="113"/>
  <c r="AA44" i="113" s="1"/>
  <c r="J44" i="113"/>
  <c r="I44" i="113"/>
  <c r="Y44" i="113" s="1"/>
  <c r="H44" i="113"/>
  <c r="G44" i="113"/>
  <c r="F44" i="113"/>
  <c r="U43" i="113"/>
  <c r="T43" i="113"/>
  <c r="S43" i="113"/>
  <c r="AA43" i="113" s="1"/>
  <c r="R43" i="113"/>
  <c r="Q43" i="113"/>
  <c r="Y43" i="113" s="1"/>
  <c r="P43" i="113"/>
  <c r="X43" i="113" s="1"/>
  <c r="O43" i="113"/>
  <c r="N43" i="113"/>
  <c r="V43" i="113" s="1"/>
  <c r="M43" i="113"/>
  <c r="AC43" i="113" s="1"/>
  <c r="L43" i="113"/>
  <c r="AB43" i="113" s="1"/>
  <c r="K43" i="113"/>
  <c r="J43" i="113"/>
  <c r="I43" i="113"/>
  <c r="H43" i="113"/>
  <c r="G43" i="113"/>
  <c r="F43" i="113"/>
  <c r="U42" i="113"/>
  <c r="T42" i="113"/>
  <c r="AB42" i="113" s="1"/>
  <c r="S42" i="113"/>
  <c r="R42" i="113"/>
  <c r="Z42" i="113" s="1"/>
  <c r="Q42" i="113"/>
  <c r="Y42" i="113" s="1"/>
  <c r="P42" i="113"/>
  <c r="X42" i="113" s="1"/>
  <c r="O42" i="113"/>
  <c r="N42" i="113"/>
  <c r="M42" i="113"/>
  <c r="L42" i="113"/>
  <c r="K42" i="113"/>
  <c r="J42" i="113"/>
  <c r="I42" i="113"/>
  <c r="H42" i="113"/>
  <c r="G42" i="113"/>
  <c r="F42" i="113"/>
  <c r="V42" i="113" s="1"/>
  <c r="U41" i="113"/>
  <c r="AC41" i="113" s="1"/>
  <c r="T41" i="113"/>
  <c r="AB41" i="113" s="1"/>
  <c r="S41" i="113"/>
  <c r="R41" i="113"/>
  <c r="Q41" i="113"/>
  <c r="P41" i="113"/>
  <c r="O41" i="113"/>
  <c r="N41" i="113"/>
  <c r="M41" i="113"/>
  <c r="L41" i="113"/>
  <c r="K41" i="113"/>
  <c r="AA41" i="113" s="1"/>
  <c r="J41" i="113"/>
  <c r="Z41" i="113" s="1"/>
  <c r="I41" i="113"/>
  <c r="Y41" i="113" s="1"/>
  <c r="H41" i="113"/>
  <c r="G41" i="113"/>
  <c r="F41" i="113"/>
  <c r="U40" i="113"/>
  <c r="T40" i="113"/>
  <c r="S40" i="113"/>
  <c r="R40" i="113"/>
  <c r="Z40" i="113" s="1"/>
  <c r="Q40" i="113"/>
  <c r="P40" i="113"/>
  <c r="O40" i="113"/>
  <c r="N40" i="113"/>
  <c r="V40" i="113" s="1"/>
  <c r="M40" i="113"/>
  <c r="AC40" i="113" s="1"/>
  <c r="L40" i="113"/>
  <c r="AB40" i="113" s="1"/>
  <c r="K40" i="113"/>
  <c r="J40" i="113"/>
  <c r="I40" i="113"/>
  <c r="H40" i="113"/>
  <c r="G40" i="113"/>
  <c r="F40" i="113"/>
  <c r="U39" i="113"/>
  <c r="T39" i="113"/>
  <c r="S39" i="113"/>
  <c r="R39" i="113"/>
  <c r="Q39" i="113"/>
  <c r="Y39" i="113" s="1"/>
  <c r="P39" i="113"/>
  <c r="X39" i="113" s="1"/>
  <c r="O39" i="113"/>
  <c r="N39" i="113"/>
  <c r="M39" i="113"/>
  <c r="L39" i="113"/>
  <c r="K39" i="113"/>
  <c r="J39" i="113"/>
  <c r="I39" i="113"/>
  <c r="H39" i="113"/>
  <c r="G39" i="113"/>
  <c r="W39" i="113" s="1"/>
  <c r="F39" i="113"/>
  <c r="U38" i="113"/>
  <c r="AC38" i="113" s="1"/>
  <c r="T38" i="113"/>
  <c r="AB38" i="113" s="1"/>
  <c r="S38" i="113"/>
  <c r="R38" i="113"/>
  <c r="Q38" i="113"/>
  <c r="P38" i="113"/>
  <c r="O38" i="113"/>
  <c r="N38" i="113"/>
  <c r="M38" i="113"/>
  <c r="L38" i="113"/>
  <c r="K38" i="113"/>
  <c r="AA38" i="113" s="1"/>
  <c r="J38" i="113"/>
  <c r="Z38" i="113" s="1"/>
  <c r="I38" i="113"/>
  <c r="Y38" i="113" s="1"/>
  <c r="H38" i="113"/>
  <c r="X38" i="113" s="1"/>
  <c r="G38" i="113"/>
  <c r="F38" i="113"/>
  <c r="U37" i="113"/>
  <c r="T37" i="113"/>
  <c r="S37" i="113"/>
  <c r="AA37" i="113" s="1"/>
  <c r="R37" i="113"/>
  <c r="Z37" i="113" s="1"/>
  <c r="Q37" i="113"/>
  <c r="P37" i="113"/>
  <c r="O37" i="113"/>
  <c r="W37" i="113" s="1"/>
  <c r="N37" i="113"/>
  <c r="V37" i="113" s="1"/>
  <c r="M37" i="113"/>
  <c r="AC37" i="113" s="1"/>
  <c r="L37" i="113"/>
  <c r="K37" i="113"/>
  <c r="J37" i="113"/>
  <c r="I37" i="113"/>
  <c r="H37" i="113"/>
  <c r="G37" i="113"/>
  <c r="F37" i="113"/>
  <c r="U36" i="113"/>
  <c r="T36" i="113"/>
  <c r="S36" i="113"/>
  <c r="R36" i="113"/>
  <c r="Z36" i="113" s="1"/>
  <c r="Q36" i="113"/>
  <c r="Y36" i="113" s="1"/>
  <c r="P36" i="113"/>
  <c r="X36" i="113" s="1"/>
  <c r="O36" i="113"/>
  <c r="N36" i="113"/>
  <c r="M36" i="113"/>
  <c r="L36" i="113"/>
  <c r="K36" i="113"/>
  <c r="J36" i="113"/>
  <c r="I36" i="113"/>
  <c r="H36" i="113"/>
  <c r="G36" i="113"/>
  <c r="F36" i="113"/>
  <c r="V36" i="113" s="1"/>
  <c r="U35" i="113"/>
  <c r="AC35" i="113" s="1"/>
  <c r="T35" i="113"/>
  <c r="AB35" i="113" s="1"/>
  <c r="S35" i="113"/>
  <c r="R35" i="113"/>
  <c r="Q35" i="113"/>
  <c r="P35" i="113"/>
  <c r="O35" i="113"/>
  <c r="W35" i="113" s="1"/>
  <c r="N35" i="113"/>
  <c r="V35" i="113" s="1"/>
  <c r="M35" i="113"/>
  <c r="L35" i="113"/>
  <c r="K35" i="113"/>
  <c r="J35" i="113"/>
  <c r="I35" i="113"/>
  <c r="Y35" i="113" s="1"/>
  <c r="H35" i="113"/>
  <c r="G35" i="113"/>
  <c r="F35" i="113"/>
  <c r="U34" i="113"/>
  <c r="T34" i="113"/>
  <c r="S34" i="113"/>
  <c r="R34" i="113"/>
  <c r="Q34" i="113"/>
  <c r="P34" i="113"/>
  <c r="O34" i="113"/>
  <c r="N34" i="113"/>
  <c r="V34" i="113" s="1"/>
  <c r="M34" i="113"/>
  <c r="AC34" i="113" s="1"/>
  <c r="L34" i="113"/>
  <c r="AB34" i="113" s="1"/>
  <c r="K34" i="113"/>
  <c r="J34" i="113"/>
  <c r="I34" i="113"/>
  <c r="H34" i="113"/>
  <c r="G34" i="113"/>
  <c r="F34" i="113"/>
  <c r="C34" i="113"/>
  <c r="C35" i="113" s="1"/>
  <c r="C36" i="113" s="1"/>
  <c r="C37" i="113" s="1"/>
  <c r="C38" i="113" s="1"/>
  <c r="C39" i="113" s="1"/>
  <c r="C40" i="113" s="1"/>
  <c r="C41" i="113" s="1"/>
  <c r="C42" i="113" s="1"/>
  <c r="C43" i="113" s="1"/>
  <c r="C44" i="113" s="1"/>
  <c r="C45" i="113" s="1"/>
  <c r="C46" i="113" s="1"/>
  <c r="C47" i="113" s="1"/>
  <c r="C48" i="113" s="1"/>
  <c r="C49" i="113" s="1"/>
  <c r="C50" i="113" s="1"/>
  <c r="C51" i="113" s="1"/>
  <c r="C52" i="113" s="1"/>
  <c r="C53" i="113" s="1"/>
  <c r="U67" i="112"/>
  <c r="T67" i="112"/>
  <c r="S67" i="112"/>
  <c r="R67" i="112"/>
  <c r="Q67" i="112"/>
  <c r="P67" i="112"/>
  <c r="O67" i="112"/>
  <c r="N67" i="112"/>
  <c r="M67" i="112"/>
  <c r="L67" i="112"/>
  <c r="K67" i="112"/>
  <c r="J67" i="112"/>
  <c r="J73" i="112" s="1"/>
  <c r="J75" i="112" s="1"/>
  <c r="I67" i="112"/>
  <c r="H67" i="112"/>
  <c r="G67" i="112"/>
  <c r="F67" i="112"/>
  <c r="P34" i="112"/>
  <c r="V34" i="112" s="1"/>
  <c r="O34" i="112"/>
  <c r="N34" i="112"/>
  <c r="M34" i="112"/>
  <c r="L34" i="112"/>
  <c r="R34" i="112" s="1"/>
  <c r="J34" i="112"/>
  <c r="I34" i="112"/>
  <c r="U34" i="112" s="1"/>
  <c r="H34" i="112"/>
  <c r="T34" i="112" s="1"/>
  <c r="G34" i="112"/>
  <c r="S34" i="112" s="1"/>
  <c r="F34" i="112"/>
  <c r="P33" i="112"/>
  <c r="O33" i="112"/>
  <c r="U33" i="112" s="1"/>
  <c r="N33" i="112"/>
  <c r="T33" i="112" s="1"/>
  <c r="M33" i="112"/>
  <c r="L33" i="112"/>
  <c r="J33" i="112"/>
  <c r="I33" i="112"/>
  <c r="H33" i="112"/>
  <c r="G33" i="112"/>
  <c r="F33" i="112"/>
  <c r="P32" i="112"/>
  <c r="V32" i="112" s="1"/>
  <c r="O32" i="112"/>
  <c r="U32" i="112" s="1"/>
  <c r="N32" i="112"/>
  <c r="T32" i="112" s="1"/>
  <c r="M32" i="112"/>
  <c r="S32" i="112" s="1"/>
  <c r="L32" i="112"/>
  <c r="J32" i="112"/>
  <c r="I32" i="112"/>
  <c r="H32" i="112"/>
  <c r="G32" i="112"/>
  <c r="F32" i="112"/>
  <c r="P31" i="112"/>
  <c r="O31" i="112"/>
  <c r="N31" i="112"/>
  <c r="M31" i="112"/>
  <c r="L31" i="112"/>
  <c r="R31" i="112" s="1"/>
  <c r="J31" i="112"/>
  <c r="I31" i="112"/>
  <c r="H31" i="112"/>
  <c r="G31" i="112"/>
  <c r="F31" i="112"/>
  <c r="Q30" i="112"/>
  <c r="P30" i="112"/>
  <c r="O30" i="112"/>
  <c r="N30" i="112"/>
  <c r="T30" i="112" s="1"/>
  <c r="M30" i="112"/>
  <c r="S30" i="112" s="1"/>
  <c r="L30" i="112"/>
  <c r="R30" i="112" s="1"/>
  <c r="K30" i="112"/>
  <c r="J30" i="112"/>
  <c r="V30" i="112" s="1"/>
  <c r="I30" i="112"/>
  <c r="H30" i="112"/>
  <c r="G30" i="112"/>
  <c r="F30" i="112"/>
  <c r="C30" i="112"/>
  <c r="C4" i="112"/>
  <c r="C163" i="113"/>
  <c r="C164" i="113" s="1"/>
  <c r="C165" i="113" s="1"/>
  <c r="C166" i="113" s="1"/>
  <c r="C167" i="113" s="1"/>
  <c r="U167" i="113"/>
  <c r="T167" i="113"/>
  <c r="S167" i="113"/>
  <c r="R167" i="113"/>
  <c r="Z167" i="113" s="1"/>
  <c r="Q167" i="113"/>
  <c r="Y167" i="113" s="1"/>
  <c r="P167" i="113"/>
  <c r="X167" i="113" s="1"/>
  <c r="O167" i="113"/>
  <c r="N167" i="113"/>
  <c r="M167" i="113"/>
  <c r="L167" i="113"/>
  <c r="K167" i="113"/>
  <c r="J167" i="113"/>
  <c r="I167" i="113"/>
  <c r="H167" i="113"/>
  <c r="G167" i="113"/>
  <c r="F167" i="113"/>
  <c r="V167" i="113" s="1"/>
  <c r="U166" i="113"/>
  <c r="AC166" i="113" s="1"/>
  <c r="T166" i="113"/>
  <c r="S166" i="113"/>
  <c r="R166" i="113"/>
  <c r="Q166" i="113"/>
  <c r="P166" i="113"/>
  <c r="O166" i="113"/>
  <c r="N166" i="113"/>
  <c r="V166" i="113" s="1"/>
  <c r="M166" i="113"/>
  <c r="L166" i="113"/>
  <c r="K166" i="113"/>
  <c r="AA166" i="113" s="1"/>
  <c r="J166" i="113"/>
  <c r="Z166" i="113" s="1"/>
  <c r="I166" i="113"/>
  <c r="Y166" i="113" s="1"/>
  <c r="H166" i="113"/>
  <c r="G166" i="113"/>
  <c r="F166" i="113"/>
  <c r="U165" i="113"/>
  <c r="T165" i="113"/>
  <c r="S165" i="113"/>
  <c r="R165" i="113"/>
  <c r="Q165" i="113"/>
  <c r="P165" i="113"/>
  <c r="O165" i="113"/>
  <c r="W165" i="113" s="1"/>
  <c r="N165" i="113"/>
  <c r="V165" i="113" s="1"/>
  <c r="M165" i="113"/>
  <c r="AC165" i="113" s="1"/>
  <c r="L165" i="113"/>
  <c r="AB165" i="113" s="1"/>
  <c r="K165" i="113"/>
  <c r="J165" i="113"/>
  <c r="I165" i="113"/>
  <c r="H165" i="113"/>
  <c r="G165" i="113"/>
  <c r="F165" i="113"/>
  <c r="U164" i="113"/>
  <c r="T164" i="113"/>
  <c r="S164" i="113"/>
  <c r="R164" i="113"/>
  <c r="Z164" i="113" s="1"/>
  <c r="Q164" i="113"/>
  <c r="P164" i="113"/>
  <c r="O164" i="113"/>
  <c r="N164" i="113"/>
  <c r="M164" i="113"/>
  <c r="L164" i="113"/>
  <c r="K164" i="113"/>
  <c r="J164" i="113"/>
  <c r="I164" i="113"/>
  <c r="H164" i="113"/>
  <c r="G164" i="113"/>
  <c r="F164" i="113"/>
  <c r="U163" i="113"/>
  <c r="AC163" i="113" s="1"/>
  <c r="T163" i="113"/>
  <c r="AB163" i="113" s="1"/>
  <c r="S163" i="113"/>
  <c r="R163" i="113"/>
  <c r="Q163" i="113"/>
  <c r="P163" i="113"/>
  <c r="O163" i="113"/>
  <c r="N163" i="113"/>
  <c r="M163" i="113"/>
  <c r="L163" i="113"/>
  <c r="K163" i="113"/>
  <c r="AA163" i="113" s="1"/>
  <c r="J163" i="113"/>
  <c r="Z163" i="113" s="1"/>
  <c r="I163" i="113"/>
  <c r="Y163" i="113" s="1"/>
  <c r="H163" i="113"/>
  <c r="A163" i="113" s="1"/>
  <c r="G163" i="113"/>
  <c r="F163" i="113"/>
  <c r="C14" i="113"/>
  <c r="C15" i="113" s="1"/>
  <c r="C16" i="113" s="1"/>
  <c r="C17" i="113" s="1"/>
  <c r="C18" i="113" s="1"/>
  <c r="C19" i="113" s="1"/>
  <c r="C20" i="113" s="1"/>
  <c r="C21" i="113" s="1"/>
  <c r="C22" i="113" s="1"/>
  <c r="C23" i="113" s="1"/>
  <c r="C24" i="113" s="1"/>
  <c r="C25" i="113" s="1"/>
  <c r="C26" i="113" s="1"/>
  <c r="C27" i="113" s="1"/>
  <c r="C28" i="113" s="1"/>
  <c r="C29" i="113" s="1"/>
  <c r="C30" i="113" s="1"/>
  <c r="C31" i="113" s="1"/>
  <c r="C32" i="113" s="1"/>
  <c r="C33" i="113" s="1"/>
  <c r="U33" i="113"/>
  <c r="AC33" i="113" s="1"/>
  <c r="T33" i="113"/>
  <c r="S33" i="113"/>
  <c r="R33" i="113"/>
  <c r="Q33" i="113"/>
  <c r="P33" i="113"/>
  <c r="X33" i="113" s="1"/>
  <c r="O33" i="113"/>
  <c r="N33" i="113"/>
  <c r="V33" i="113" s="1"/>
  <c r="M33" i="113"/>
  <c r="L33" i="113"/>
  <c r="K33" i="113"/>
  <c r="AA33" i="113" s="1"/>
  <c r="J33" i="113"/>
  <c r="Z33" i="113" s="1"/>
  <c r="I33" i="113"/>
  <c r="Y33" i="113" s="1"/>
  <c r="H33" i="113"/>
  <c r="G33" i="113"/>
  <c r="F33" i="113"/>
  <c r="U32" i="113"/>
  <c r="T32" i="113"/>
  <c r="AB32" i="113" s="1"/>
  <c r="S32" i="113"/>
  <c r="R32" i="113"/>
  <c r="Z32" i="113" s="1"/>
  <c r="Q32" i="113"/>
  <c r="Y32" i="113" s="1"/>
  <c r="P32" i="113"/>
  <c r="O32" i="113"/>
  <c r="W32" i="113" s="1"/>
  <c r="N32" i="113"/>
  <c r="V32" i="113" s="1"/>
  <c r="M32" i="113"/>
  <c r="L32" i="113"/>
  <c r="K32" i="113"/>
  <c r="J32" i="113"/>
  <c r="I32" i="113"/>
  <c r="H32" i="113"/>
  <c r="G32" i="113"/>
  <c r="F32" i="113"/>
  <c r="U31" i="113"/>
  <c r="AC31" i="113" s="1"/>
  <c r="T31" i="113"/>
  <c r="AB31" i="113" s="1"/>
  <c r="S31" i="113"/>
  <c r="AA31" i="113" s="1"/>
  <c r="R31" i="113"/>
  <c r="Z31" i="113" s="1"/>
  <c r="Q31" i="113"/>
  <c r="Y31" i="113" s="1"/>
  <c r="P31" i="113"/>
  <c r="O31" i="113"/>
  <c r="N31" i="113"/>
  <c r="M31" i="113"/>
  <c r="L31" i="113"/>
  <c r="K31" i="113"/>
  <c r="J31" i="113"/>
  <c r="I31" i="113"/>
  <c r="H31" i="113"/>
  <c r="X31" i="113" s="1"/>
  <c r="G31" i="113"/>
  <c r="F31" i="113"/>
  <c r="V31" i="113" s="1"/>
  <c r="U30" i="113"/>
  <c r="T30" i="113"/>
  <c r="S30" i="113"/>
  <c r="R30" i="113"/>
  <c r="Q30" i="113"/>
  <c r="P30" i="113"/>
  <c r="O30" i="113"/>
  <c r="W30" i="113" s="1"/>
  <c r="N30" i="113"/>
  <c r="V30" i="113" s="1"/>
  <c r="M30" i="113"/>
  <c r="L30" i="113"/>
  <c r="K30" i="113"/>
  <c r="AA30" i="113" s="1"/>
  <c r="J30" i="113"/>
  <c r="Z30" i="113" s="1"/>
  <c r="I30" i="113"/>
  <c r="Y30" i="113" s="1"/>
  <c r="H30" i="113"/>
  <c r="G30" i="113"/>
  <c r="F30" i="113"/>
  <c r="U29" i="113"/>
  <c r="T29" i="113"/>
  <c r="S29" i="113"/>
  <c r="AA29" i="113" s="1"/>
  <c r="R29" i="113"/>
  <c r="Z29" i="113" s="1"/>
  <c r="Q29" i="113"/>
  <c r="Y29" i="113" s="1"/>
  <c r="P29" i="113"/>
  <c r="O29" i="113"/>
  <c r="N29" i="113"/>
  <c r="V29" i="113" s="1"/>
  <c r="M29" i="113"/>
  <c r="AC29" i="113" s="1"/>
  <c r="L29" i="113"/>
  <c r="K29" i="113"/>
  <c r="J29" i="113"/>
  <c r="I29" i="113"/>
  <c r="H29" i="113"/>
  <c r="G29" i="113"/>
  <c r="F29" i="113"/>
  <c r="U28" i="113"/>
  <c r="AC28" i="113" s="1"/>
  <c r="T28" i="113"/>
  <c r="AB28" i="113" s="1"/>
  <c r="S28" i="113"/>
  <c r="R28" i="113"/>
  <c r="Z28" i="113" s="1"/>
  <c r="Q28" i="113"/>
  <c r="P28" i="113"/>
  <c r="O28" i="113"/>
  <c r="N28" i="113"/>
  <c r="M28" i="113"/>
  <c r="L28" i="113"/>
  <c r="K28" i="113"/>
  <c r="J28" i="113"/>
  <c r="I28" i="113"/>
  <c r="H28" i="113"/>
  <c r="X28" i="113" s="1"/>
  <c r="G28" i="113"/>
  <c r="F28" i="113"/>
  <c r="V28" i="113" s="1"/>
  <c r="U27" i="113"/>
  <c r="AC27" i="113" s="1"/>
  <c r="T27" i="113"/>
  <c r="S27" i="113"/>
  <c r="R27" i="113"/>
  <c r="Q27" i="113"/>
  <c r="P27" i="113"/>
  <c r="O27" i="113"/>
  <c r="N27" i="113"/>
  <c r="V27" i="113" s="1"/>
  <c r="M27" i="113"/>
  <c r="L27" i="113"/>
  <c r="K27" i="113"/>
  <c r="AA27" i="113" s="1"/>
  <c r="J27" i="113"/>
  <c r="Z27" i="113" s="1"/>
  <c r="I27" i="113"/>
  <c r="Y27" i="113" s="1"/>
  <c r="H27" i="113"/>
  <c r="G27" i="113"/>
  <c r="F27" i="113"/>
  <c r="U26" i="113"/>
  <c r="T26" i="113"/>
  <c r="AB26" i="113" s="1"/>
  <c r="S26" i="113"/>
  <c r="AA26" i="113" s="1"/>
  <c r="R26" i="113"/>
  <c r="Q26" i="113"/>
  <c r="P26" i="113"/>
  <c r="O26" i="113"/>
  <c r="N26" i="113"/>
  <c r="V26" i="113" s="1"/>
  <c r="M26" i="113"/>
  <c r="L26" i="113"/>
  <c r="K26" i="113"/>
  <c r="J26" i="113"/>
  <c r="I26" i="113"/>
  <c r="H26" i="113"/>
  <c r="G26" i="113"/>
  <c r="F26" i="113"/>
  <c r="U25" i="113"/>
  <c r="AC25" i="113" s="1"/>
  <c r="T25" i="113"/>
  <c r="AB25" i="113" s="1"/>
  <c r="S25" i="113"/>
  <c r="AA25" i="113" s="1"/>
  <c r="R25" i="113"/>
  <c r="Z25" i="113" s="1"/>
  <c r="Q25" i="113"/>
  <c r="Y25" i="113" s="1"/>
  <c r="P25" i="113"/>
  <c r="O25" i="113"/>
  <c r="N25" i="113"/>
  <c r="M25" i="113"/>
  <c r="L25" i="113"/>
  <c r="K25" i="113"/>
  <c r="J25" i="113"/>
  <c r="I25" i="113"/>
  <c r="H25" i="113"/>
  <c r="G25" i="113"/>
  <c r="W25" i="113" s="1"/>
  <c r="F25" i="113"/>
  <c r="V25" i="113" s="1"/>
  <c r="U24" i="113"/>
  <c r="AC24" i="113" s="1"/>
  <c r="T24" i="113"/>
  <c r="S24" i="113"/>
  <c r="R24" i="113"/>
  <c r="Q24" i="113"/>
  <c r="P24" i="113"/>
  <c r="O24" i="113"/>
  <c r="N24" i="113"/>
  <c r="V24" i="113" s="1"/>
  <c r="M24" i="113"/>
  <c r="L24" i="113"/>
  <c r="K24" i="113"/>
  <c r="AA24" i="113" s="1"/>
  <c r="J24" i="113"/>
  <c r="Z24" i="113" s="1"/>
  <c r="I24" i="113"/>
  <c r="Y24" i="113" s="1"/>
  <c r="H24" i="113"/>
  <c r="G24" i="113"/>
  <c r="F24" i="113"/>
  <c r="U23" i="113"/>
  <c r="T23" i="113"/>
  <c r="AB23" i="113" s="1"/>
  <c r="S23" i="113"/>
  <c r="AA23" i="113" s="1"/>
  <c r="R23" i="113"/>
  <c r="Q23" i="113"/>
  <c r="Y23" i="113" s="1"/>
  <c r="P23" i="113"/>
  <c r="O23" i="113"/>
  <c r="W23" i="113" s="1"/>
  <c r="N23" i="113"/>
  <c r="V23" i="113" s="1"/>
  <c r="M23" i="113"/>
  <c r="L23" i="113"/>
  <c r="K23" i="113"/>
  <c r="J23" i="113"/>
  <c r="I23" i="113"/>
  <c r="H23" i="113"/>
  <c r="G23" i="113"/>
  <c r="F23" i="113"/>
  <c r="U22" i="113"/>
  <c r="AC22" i="113" s="1"/>
  <c r="T22" i="113"/>
  <c r="S22" i="113"/>
  <c r="AA22" i="113" s="1"/>
  <c r="R22" i="113"/>
  <c r="Z22" i="113" s="1"/>
  <c r="Q22" i="113"/>
  <c r="Y22" i="113" s="1"/>
  <c r="P22" i="113"/>
  <c r="O22" i="113"/>
  <c r="N22" i="113"/>
  <c r="M22" i="113"/>
  <c r="L22" i="113"/>
  <c r="K22" i="113"/>
  <c r="J22" i="113"/>
  <c r="I22" i="113"/>
  <c r="H22" i="113"/>
  <c r="X22" i="113" s="1"/>
  <c r="G22" i="113"/>
  <c r="F22" i="113"/>
  <c r="V22" i="113" s="1"/>
  <c r="U21" i="113"/>
  <c r="AC21" i="113" s="1"/>
  <c r="T21" i="113"/>
  <c r="S21" i="113"/>
  <c r="R21" i="113"/>
  <c r="Q21" i="113"/>
  <c r="P21" i="113"/>
  <c r="O21" i="113"/>
  <c r="N21" i="113"/>
  <c r="V21" i="113" s="1"/>
  <c r="M21" i="113"/>
  <c r="L21" i="113"/>
  <c r="K21" i="113"/>
  <c r="AA21" i="113" s="1"/>
  <c r="J21" i="113"/>
  <c r="Z21" i="113" s="1"/>
  <c r="I21" i="113"/>
  <c r="H21" i="113"/>
  <c r="G21" i="113"/>
  <c r="F21" i="113"/>
  <c r="U20" i="113"/>
  <c r="T20" i="113"/>
  <c r="AB20" i="113" s="1"/>
  <c r="S20" i="113"/>
  <c r="AA20" i="113" s="1"/>
  <c r="R20" i="113"/>
  <c r="Z20" i="113" s="1"/>
  <c r="Q20" i="113"/>
  <c r="Y20" i="113" s="1"/>
  <c r="P20" i="113"/>
  <c r="X20" i="113" s="1"/>
  <c r="O20" i="113"/>
  <c r="W20" i="113" s="1"/>
  <c r="N20" i="113"/>
  <c r="V20" i="113" s="1"/>
  <c r="M20" i="113"/>
  <c r="L20" i="113"/>
  <c r="K20" i="113"/>
  <c r="J20" i="113"/>
  <c r="I20" i="113"/>
  <c r="H20" i="113"/>
  <c r="G20" i="113"/>
  <c r="F20" i="113"/>
  <c r="U19" i="113"/>
  <c r="T19" i="113"/>
  <c r="S19" i="113"/>
  <c r="AA19" i="113" s="1"/>
  <c r="R19" i="113"/>
  <c r="Z19" i="113" s="1"/>
  <c r="Q19" i="113"/>
  <c r="Y19" i="113" s="1"/>
  <c r="P19" i="113"/>
  <c r="O19" i="113"/>
  <c r="N19" i="113"/>
  <c r="M19" i="113"/>
  <c r="L19" i="113"/>
  <c r="K19" i="113"/>
  <c r="J19" i="113"/>
  <c r="I19" i="113"/>
  <c r="H19" i="113"/>
  <c r="G19" i="113"/>
  <c r="F19" i="113"/>
  <c r="V19" i="113" s="1"/>
  <c r="U18" i="113"/>
  <c r="AC18" i="113" s="1"/>
  <c r="T18" i="113"/>
  <c r="S18" i="113"/>
  <c r="R18" i="113"/>
  <c r="Q18" i="113"/>
  <c r="P18" i="113"/>
  <c r="O18" i="113"/>
  <c r="N18" i="113"/>
  <c r="M18" i="113"/>
  <c r="L18" i="113"/>
  <c r="AB18" i="113" s="1"/>
  <c r="K18" i="113"/>
  <c r="AA18" i="113" s="1"/>
  <c r="J18" i="113"/>
  <c r="Z18" i="113" s="1"/>
  <c r="I18" i="113"/>
  <c r="H18" i="113"/>
  <c r="G18" i="113"/>
  <c r="F18" i="113"/>
  <c r="U17" i="113"/>
  <c r="T17" i="113"/>
  <c r="S17" i="113"/>
  <c r="AA17" i="113" s="1"/>
  <c r="R17" i="113"/>
  <c r="Q17" i="113"/>
  <c r="Y17" i="113" s="1"/>
  <c r="P17" i="113"/>
  <c r="O17" i="113"/>
  <c r="W17" i="113" s="1"/>
  <c r="N17" i="113"/>
  <c r="M17" i="113"/>
  <c r="AC17" i="113" s="1"/>
  <c r="L17" i="113"/>
  <c r="K17" i="113"/>
  <c r="J17" i="113"/>
  <c r="I17" i="113"/>
  <c r="H17" i="113"/>
  <c r="G17" i="113"/>
  <c r="F17" i="113"/>
  <c r="U16" i="113"/>
  <c r="AC16" i="113" s="1"/>
  <c r="T16" i="113"/>
  <c r="S16" i="113"/>
  <c r="AA16" i="113" s="1"/>
  <c r="R16" i="113"/>
  <c r="Z16" i="113" s="1"/>
  <c r="Q16" i="113"/>
  <c r="Y16" i="113" s="1"/>
  <c r="P16" i="113"/>
  <c r="O16" i="113"/>
  <c r="N16" i="113"/>
  <c r="M16" i="113"/>
  <c r="L16" i="113"/>
  <c r="K16" i="113"/>
  <c r="J16" i="113"/>
  <c r="I16" i="113"/>
  <c r="H16" i="113"/>
  <c r="X16" i="113" s="1"/>
  <c r="G16" i="113"/>
  <c r="W16" i="113" s="1"/>
  <c r="F16" i="113"/>
  <c r="V16" i="113" s="1"/>
  <c r="U15" i="113"/>
  <c r="AC15" i="113" s="1"/>
  <c r="T15" i="113"/>
  <c r="S15" i="113"/>
  <c r="R15" i="113"/>
  <c r="Q15" i="113"/>
  <c r="P15" i="113"/>
  <c r="X15" i="113" s="1"/>
  <c r="O15" i="113"/>
  <c r="W15" i="113" s="1"/>
  <c r="N15" i="113"/>
  <c r="M15" i="113"/>
  <c r="L15" i="113"/>
  <c r="K15" i="113"/>
  <c r="J15" i="113"/>
  <c r="Z15" i="113" s="1"/>
  <c r="I15" i="113"/>
  <c r="Y15" i="113" s="1"/>
  <c r="H15" i="113"/>
  <c r="G15" i="113"/>
  <c r="F15" i="113"/>
  <c r="U14" i="113"/>
  <c r="T14" i="113"/>
  <c r="S14" i="113"/>
  <c r="R14" i="113"/>
  <c r="Q14" i="113"/>
  <c r="Y14" i="113" s="1"/>
  <c r="P14" i="113"/>
  <c r="O14" i="113"/>
  <c r="N14" i="113"/>
  <c r="V14" i="113" s="1"/>
  <c r="M14" i="113"/>
  <c r="L14" i="113"/>
  <c r="K14" i="113"/>
  <c r="J14" i="113"/>
  <c r="I14" i="113"/>
  <c r="H14" i="113"/>
  <c r="G14" i="113"/>
  <c r="F14" i="113"/>
  <c r="U66" i="112"/>
  <c r="T66" i="112"/>
  <c r="S66" i="112"/>
  <c r="R66" i="112"/>
  <c r="Q66" i="112"/>
  <c r="P66" i="112"/>
  <c r="O66" i="112"/>
  <c r="N66" i="112"/>
  <c r="N73" i="112" s="1"/>
  <c r="M66" i="112"/>
  <c r="M73" i="112" s="1"/>
  <c r="M75" i="112" s="1"/>
  <c r="L66" i="112"/>
  <c r="K66" i="112"/>
  <c r="J66" i="112"/>
  <c r="I66" i="112"/>
  <c r="H66" i="112"/>
  <c r="G66" i="112"/>
  <c r="F66" i="112"/>
  <c r="F73" i="112" s="1"/>
  <c r="F75" i="112" s="1"/>
  <c r="P29" i="112"/>
  <c r="V29" i="112" s="1"/>
  <c r="O29" i="112"/>
  <c r="N29" i="112"/>
  <c r="T29" i="112" s="1"/>
  <c r="M29" i="112"/>
  <c r="S29" i="112" s="1"/>
  <c r="L29" i="112"/>
  <c r="R29" i="112" s="1"/>
  <c r="J29" i="112"/>
  <c r="I29" i="112"/>
  <c r="H29" i="112"/>
  <c r="G29" i="112"/>
  <c r="F29" i="112"/>
  <c r="P28" i="112"/>
  <c r="O28" i="112"/>
  <c r="U28" i="112" s="1"/>
  <c r="N28" i="112"/>
  <c r="M28" i="112"/>
  <c r="L28" i="112"/>
  <c r="J28" i="112"/>
  <c r="V28" i="112" s="1"/>
  <c r="I28" i="112"/>
  <c r="H28" i="112"/>
  <c r="G28" i="112"/>
  <c r="F28" i="112"/>
  <c r="P27" i="112"/>
  <c r="V27" i="112" s="1"/>
  <c r="O27" i="112"/>
  <c r="N27" i="112"/>
  <c r="M27" i="112"/>
  <c r="L27" i="112"/>
  <c r="R27" i="112" s="1"/>
  <c r="J27" i="112"/>
  <c r="I27" i="112"/>
  <c r="H27" i="112"/>
  <c r="G27" i="112"/>
  <c r="F27" i="112"/>
  <c r="P26" i="112"/>
  <c r="O26" i="112"/>
  <c r="N26" i="112"/>
  <c r="M26" i="112"/>
  <c r="L26" i="112"/>
  <c r="J26" i="112"/>
  <c r="I26" i="112"/>
  <c r="U26" i="112" s="1"/>
  <c r="H26" i="112"/>
  <c r="G26" i="112"/>
  <c r="F26" i="112"/>
  <c r="R26" i="112" s="1"/>
  <c r="Q25" i="112"/>
  <c r="W25" i="112" s="1"/>
  <c r="P25" i="112"/>
  <c r="O25" i="112"/>
  <c r="N25" i="112"/>
  <c r="M25" i="112"/>
  <c r="L25" i="112"/>
  <c r="K25" i="112"/>
  <c r="J25" i="112"/>
  <c r="I25" i="112"/>
  <c r="U25" i="112" s="1"/>
  <c r="H25" i="112"/>
  <c r="G25" i="112"/>
  <c r="S25" i="112" s="1"/>
  <c r="F25" i="112"/>
  <c r="C25" i="112"/>
  <c r="C3" i="112"/>
  <c r="P40" i="107"/>
  <c r="O40" i="107"/>
  <c r="P40" i="106"/>
  <c r="O40" i="106"/>
  <c r="P40" i="105"/>
  <c r="O40" i="105"/>
  <c r="P40" i="109"/>
  <c r="O40" i="109"/>
  <c r="P40" i="111"/>
  <c r="O40" i="111"/>
  <c r="P40" i="110"/>
  <c r="O40" i="110"/>
  <c r="P40" i="91"/>
  <c r="O40" i="91"/>
  <c r="A3" i="114"/>
  <c r="A4" i="114" s="1"/>
  <c r="A5" i="114" s="1"/>
  <c r="A6" i="114" s="1"/>
  <c r="A7" i="114" s="1"/>
  <c r="A8" i="114" s="1"/>
  <c r="A9" i="114" s="1"/>
  <c r="A10" i="114" s="1"/>
  <c r="A11" i="114" s="1"/>
  <c r="A12" i="114" s="1"/>
  <c r="A13" i="114" s="1"/>
  <c r="A14" i="114" s="1"/>
  <c r="A15" i="114" s="1"/>
  <c r="A16" i="114" s="1"/>
  <c r="A17" i="114" s="1"/>
  <c r="A18" i="114" s="1"/>
  <c r="A19" i="114" s="1"/>
  <c r="A20" i="114" s="1"/>
  <c r="A21" i="114" s="1"/>
  <c r="A22" i="114" s="1"/>
  <c r="A23" i="114" s="1"/>
  <c r="A24" i="114" s="1"/>
  <c r="A25" i="114" s="1"/>
  <c r="A26" i="114" s="1"/>
  <c r="A27" i="114" s="1"/>
  <c r="A28" i="114" s="1"/>
  <c r="A29" i="114" s="1"/>
  <c r="A30" i="114" s="1"/>
  <c r="A31" i="114" s="1"/>
  <c r="A32" i="114" s="1"/>
  <c r="A33" i="114" s="1"/>
  <c r="A34" i="114" s="1"/>
  <c r="A35" i="114" s="1"/>
  <c r="A36" i="114" s="1"/>
  <c r="A37" i="114" s="1"/>
  <c r="A38" i="114" s="1"/>
  <c r="A39" i="114" s="1"/>
  <c r="A40" i="114" s="1"/>
  <c r="A41" i="114" s="1"/>
  <c r="A42" i="114" s="1"/>
  <c r="A43" i="114" s="1"/>
  <c r="A44" i="114" s="1"/>
  <c r="A45" i="114" s="1"/>
  <c r="A46" i="114" s="1"/>
  <c r="A47" i="114" s="1"/>
  <c r="A48" i="114" s="1"/>
  <c r="A49" i="114" s="1"/>
  <c r="A50" i="114" s="1"/>
  <c r="A51" i="114" s="1"/>
  <c r="A52" i="114" s="1"/>
  <c r="A53" i="114" s="1"/>
  <c r="A54" i="114" s="1"/>
  <c r="A55" i="114" s="1"/>
  <c r="A56" i="114" s="1"/>
  <c r="A57" i="114" s="1"/>
  <c r="A58" i="114" s="1"/>
  <c r="A59" i="114" s="1"/>
  <c r="A60" i="114" s="1"/>
  <c r="A61" i="114" s="1"/>
  <c r="A62" i="114" s="1"/>
  <c r="A63" i="114" s="1"/>
  <c r="A64" i="114" s="1"/>
  <c r="V197" i="113"/>
  <c r="AB194" i="113"/>
  <c r="B194" i="113"/>
  <c r="B195" i="113" s="1"/>
  <c r="B196" i="113" s="1"/>
  <c r="B197" i="113" s="1"/>
  <c r="V193" i="113"/>
  <c r="Y191" i="113"/>
  <c r="X191" i="113"/>
  <c r="Z190" i="113"/>
  <c r="B190" i="113"/>
  <c r="B191" i="113" s="1"/>
  <c r="B192" i="113" s="1"/>
  <c r="Z189" i="113"/>
  <c r="B189" i="113"/>
  <c r="AC188" i="113"/>
  <c r="Z188" i="113"/>
  <c r="D188" i="113"/>
  <c r="B187" i="113"/>
  <c r="AA186" i="113"/>
  <c r="Z186" i="113"/>
  <c r="Y185" i="113"/>
  <c r="AB185" i="113"/>
  <c r="W185" i="113"/>
  <c r="B184" i="113"/>
  <c r="B185" i="113" s="1"/>
  <c r="B186" i="113" s="1"/>
  <c r="AA183" i="113"/>
  <c r="Z183" i="113"/>
  <c r="W181" i="113"/>
  <c r="V181" i="113"/>
  <c r="W180" i="113"/>
  <c r="E179" i="113"/>
  <c r="E184" i="113" s="1"/>
  <c r="E189" i="113" s="1"/>
  <c r="E194" i="113" s="1"/>
  <c r="B179" i="113"/>
  <c r="B180" i="113" s="1"/>
  <c r="B181" i="113" s="1"/>
  <c r="B182" i="113" s="1"/>
  <c r="W178" i="113"/>
  <c r="Y177" i="113"/>
  <c r="AC175" i="113"/>
  <c r="B175" i="113"/>
  <c r="B176" i="113" s="1"/>
  <c r="B177" i="113" s="1"/>
  <c r="B174" i="113"/>
  <c r="Y172" i="113"/>
  <c r="V172" i="113"/>
  <c r="AC171" i="113"/>
  <c r="C170" i="113"/>
  <c r="C171" i="113" s="1"/>
  <c r="C172" i="113" s="1"/>
  <c r="V169" i="113"/>
  <c r="E169" i="113"/>
  <c r="E174" i="113" s="1"/>
  <c r="B169" i="113"/>
  <c r="B170" i="113" s="1"/>
  <c r="B171" i="113" s="1"/>
  <c r="B172" i="113" s="1"/>
  <c r="W167" i="113"/>
  <c r="AA167" i="113"/>
  <c r="W166" i="113"/>
  <c r="B166" i="113"/>
  <c r="B167" i="113" s="1"/>
  <c r="W164" i="113"/>
  <c r="B164" i="113"/>
  <c r="B165" i="113" s="1"/>
  <c r="E168" i="113"/>
  <c r="E173" i="113" s="1"/>
  <c r="E178" i="113" s="1"/>
  <c r="E183" i="113" s="1"/>
  <c r="E188" i="113" s="1"/>
  <c r="E193" i="113" s="1"/>
  <c r="P162" i="113"/>
  <c r="Q162" i="113" s="1"/>
  <c r="R162" i="113" s="1"/>
  <c r="S162" i="113" s="1"/>
  <c r="T162" i="113" s="1"/>
  <c r="U162" i="113" s="1"/>
  <c r="V153" i="113"/>
  <c r="E153" i="113"/>
  <c r="Z152" i="113"/>
  <c r="E152" i="113"/>
  <c r="Z151" i="113"/>
  <c r="Y151" i="113"/>
  <c r="E151" i="113"/>
  <c r="E150" i="113"/>
  <c r="D150" i="113"/>
  <c r="D151" i="113" s="1"/>
  <c r="D152" i="113" s="1"/>
  <c r="D153" i="113" s="1"/>
  <c r="V149" i="113"/>
  <c r="E149" i="113"/>
  <c r="E148" i="113"/>
  <c r="AC147" i="113"/>
  <c r="Z147" i="113"/>
  <c r="V147" i="113"/>
  <c r="E147" i="113"/>
  <c r="E146" i="113"/>
  <c r="D146" i="113"/>
  <c r="D147" i="113" s="1"/>
  <c r="D148" i="113" s="1"/>
  <c r="D149" i="113" s="1"/>
  <c r="Z145" i="113"/>
  <c r="Y145" i="113"/>
  <c r="V145" i="113"/>
  <c r="AC145" i="113"/>
  <c r="E145" i="113"/>
  <c r="D145" i="113"/>
  <c r="E144" i="113"/>
  <c r="V143" i="113"/>
  <c r="AC143" i="113"/>
  <c r="D143" i="113"/>
  <c r="W141" i="113"/>
  <c r="Z141" i="113"/>
  <c r="D141" i="113"/>
  <c r="D142" i="113" s="1"/>
  <c r="Z140" i="113"/>
  <c r="Z139" i="113"/>
  <c r="AC138" i="113"/>
  <c r="Y137" i="113"/>
  <c r="B137" i="113"/>
  <c r="B138" i="113" s="1"/>
  <c r="B139" i="113" s="1"/>
  <c r="B140" i="113" s="1"/>
  <c r="B141" i="113" s="1"/>
  <c r="B142" i="113" s="1"/>
  <c r="B143" i="113" s="1"/>
  <c r="B144" i="113" s="1"/>
  <c r="B145" i="113" s="1"/>
  <c r="B146" i="113" s="1"/>
  <c r="B147" i="113" s="1"/>
  <c r="B148" i="113" s="1"/>
  <c r="B149" i="113" s="1"/>
  <c r="B150" i="113" s="1"/>
  <c r="B151" i="113" s="1"/>
  <c r="B152" i="113" s="1"/>
  <c r="B153" i="113" s="1"/>
  <c r="Z136" i="113"/>
  <c r="B136" i="113"/>
  <c r="V135" i="113"/>
  <c r="D135" i="113"/>
  <c r="D136" i="113" s="1"/>
  <c r="D137" i="113" s="1"/>
  <c r="D138" i="113" s="1"/>
  <c r="D139" i="113" s="1"/>
  <c r="D140" i="113" s="1"/>
  <c r="B135" i="113"/>
  <c r="V134" i="113"/>
  <c r="Z133" i="113"/>
  <c r="E133" i="113"/>
  <c r="E132" i="113"/>
  <c r="AB131" i="113"/>
  <c r="Z131" i="113"/>
  <c r="V131" i="113"/>
  <c r="E131" i="113"/>
  <c r="E130" i="113"/>
  <c r="Z129" i="113"/>
  <c r="E129" i="113"/>
  <c r="Z128" i="113"/>
  <c r="E128" i="113"/>
  <c r="V127" i="113"/>
  <c r="E127" i="113"/>
  <c r="E126" i="113"/>
  <c r="E125" i="113"/>
  <c r="V124" i="113"/>
  <c r="E124" i="113"/>
  <c r="Z122" i="113"/>
  <c r="V121" i="113"/>
  <c r="AC119" i="113"/>
  <c r="AB119" i="113"/>
  <c r="Z119" i="113"/>
  <c r="Y118" i="113"/>
  <c r="Z117" i="113"/>
  <c r="V116" i="113"/>
  <c r="B116" i="113"/>
  <c r="B117" i="113" s="1"/>
  <c r="B118" i="113" s="1"/>
  <c r="AC115" i="113"/>
  <c r="AB115" i="113"/>
  <c r="D115" i="113"/>
  <c r="D116" i="113" s="1"/>
  <c r="D117" i="113" s="1"/>
  <c r="D118" i="113" s="1"/>
  <c r="D119" i="113" s="1"/>
  <c r="D120" i="113" s="1"/>
  <c r="D121" i="113" s="1"/>
  <c r="D122" i="113" s="1"/>
  <c r="D123" i="113" s="1"/>
  <c r="B115" i="113"/>
  <c r="Z114" i="113"/>
  <c r="W113" i="113"/>
  <c r="E113" i="113"/>
  <c r="AA112" i="113"/>
  <c r="E112" i="113"/>
  <c r="AA111" i="113"/>
  <c r="Z111" i="113"/>
  <c r="E111" i="113"/>
  <c r="W110" i="113"/>
  <c r="E110" i="113"/>
  <c r="AA109" i="113"/>
  <c r="W109" i="113"/>
  <c r="V109" i="113"/>
  <c r="E109" i="113"/>
  <c r="E108" i="113"/>
  <c r="AA107" i="113"/>
  <c r="X107" i="113"/>
  <c r="E107" i="113"/>
  <c r="E106" i="113"/>
  <c r="D106" i="113"/>
  <c r="D107" i="113" s="1"/>
  <c r="D108" i="113" s="1"/>
  <c r="D109" i="113" s="1"/>
  <c r="D110" i="113" s="1"/>
  <c r="D111" i="113" s="1"/>
  <c r="D112" i="113" s="1"/>
  <c r="D113" i="113" s="1"/>
  <c r="X105" i="113"/>
  <c r="AA105" i="113"/>
  <c r="V105" i="113"/>
  <c r="E105" i="113"/>
  <c r="D105" i="113"/>
  <c r="AA104" i="113"/>
  <c r="E104" i="113"/>
  <c r="AA102" i="113"/>
  <c r="Z102" i="113"/>
  <c r="W101" i="113"/>
  <c r="B101" i="113"/>
  <c r="B102" i="113" s="1"/>
  <c r="B103" i="113" s="1"/>
  <c r="B104" i="113" s="1"/>
  <c r="B105" i="113" s="1"/>
  <c r="B106" i="113" s="1"/>
  <c r="B107" i="113" s="1"/>
  <c r="B108" i="113" s="1"/>
  <c r="B109" i="113" s="1"/>
  <c r="B110" i="113" s="1"/>
  <c r="B111" i="113" s="1"/>
  <c r="B112" i="113" s="1"/>
  <c r="B113" i="113" s="1"/>
  <c r="X100" i="113"/>
  <c r="V100" i="113"/>
  <c r="W98" i="113"/>
  <c r="Z98" i="113"/>
  <c r="AC97" i="113"/>
  <c r="V97" i="113"/>
  <c r="AA95" i="113"/>
  <c r="Y95" i="113"/>
  <c r="W95" i="113"/>
  <c r="D95" i="113"/>
  <c r="D96" i="113" s="1"/>
  <c r="D97" i="113" s="1"/>
  <c r="D98" i="113" s="1"/>
  <c r="D99" i="113" s="1"/>
  <c r="D100" i="113" s="1"/>
  <c r="D101" i="113" s="1"/>
  <c r="D102" i="113" s="1"/>
  <c r="D103" i="113" s="1"/>
  <c r="B95" i="113"/>
  <c r="B96" i="113" s="1"/>
  <c r="B97" i="113" s="1"/>
  <c r="B98" i="113" s="1"/>
  <c r="B99" i="113" s="1"/>
  <c r="B100" i="113" s="1"/>
  <c r="X93" i="113"/>
  <c r="E93" i="113"/>
  <c r="W92" i="113"/>
  <c r="AC92" i="113"/>
  <c r="E92" i="113"/>
  <c r="E91" i="113"/>
  <c r="W90" i="113"/>
  <c r="V90" i="113"/>
  <c r="E90" i="113"/>
  <c r="Y89" i="113"/>
  <c r="E89" i="113"/>
  <c r="D89" i="113"/>
  <c r="D90" i="113" s="1"/>
  <c r="D91" i="113" s="1"/>
  <c r="D92" i="113" s="1"/>
  <c r="D93" i="113" s="1"/>
  <c r="W88" i="113"/>
  <c r="E88" i="113"/>
  <c r="D88" i="113"/>
  <c r="W87" i="113"/>
  <c r="E87" i="113"/>
  <c r="Z86" i="113"/>
  <c r="W86" i="113"/>
  <c r="V86" i="113"/>
  <c r="E86" i="113"/>
  <c r="D86" i="113"/>
  <c r="D87" i="113" s="1"/>
  <c r="E85" i="113"/>
  <c r="D85" i="113"/>
  <c r="AA84" i="113"/>
  <c r="V84" i="113"/>
  <c r="E84" i="113"/>
  <c r="W82" i="113"/>
  <c r="AA81" i="113"/>
  <c r="D81" i="113"/>
  <c r="D82" i="113" s="1"/>
  <c r="D83" i="113" s="1"/>
  <c r="V80" i="113"/>
  <c r="B80" i="113"/>
  <c r="B81" i="113" s="1"/>
  <c r="B82" i="113" s="1"/>
  <c r="B83" i="113" s="1"/>
  <c r="B84" i="113" s="1"/>
  <c r="B85" i="113" s="1"/>
  <c r="B86" i="113" s="1"/>
  <c r="B87" i="113" s="1"/>
  <c r="B88" i="113" s="1"/>
  <c r="B89" i="113" s="1"/>
  <c r="B90" i="113" s="1"/>
  <c r="B91" i="113" s="1"/>
  <c r="B92" i="113" s="1"/>
  <c r="B93" i="113" s="1"/>
  <c r="Z79" i="113"/>
  <c r="V79" i="113"/>
  <c r="AA79" i="113"/>
  <c r="AC78" i="113"/>
  <c r="AA77" i="113"/>
  <c r="W76" i="113"/>
  <c r="V76" i="113"/>
  <c r="D76" i="113"/>
  <c r="D77" i="113" s="1"/>
  <c r="D78" i="113" s="1"/>
  <c r="D79" i="113" s="1"/>
  <c r="D80" i="113" s="1"/>
  <c r="Y75" i="113"/>
  <c r="D75" i="113"/>
  <c r="B75" i="113"/>
  <c r="B76" i="113" s="1"/>
  <c r="B77" i="113" s="1"/>
  <c r="B78" i="113" s="1"/>
  <c r="B79" i="113" s="1"/>
  <c r="W74" i="113"/>
  <c r="AA73" i="113"/>
  <c r="V73" i="113"/>
  <c r="E73" i="113"/>
  <c r="W72" i="113"/>
  <c r="Z72" i="113"/>
  <c r="E72" i="113"/>
  <c r="W71" i="113"/>
  <c r="E71" i="113"/>
  <c r="AA70" i="113"/>
  <c r="Z70" i="113"/>
  <c r="W70" i="113"/>
  <c r="E70" i="113"/>
  <c r="V69" i="113"/>
  <c r="AA69" i="113"/>
  <c r="E69" i="113"/>
  <c r="W68" i="113"/>
  <c r="E68" i="113"/>
  <c r="W67" i="113"/>
  <c r="E67" i="113"/>
  <c r="W66" i="113"/>
  <c r="E66" i="113"/>
  <c r="E65" i="113"/>
  <c r="D65" i="113"/>
  <c r="D66" i="113" s="1"/>
  <c r="D67" i="113" s="1"/>
  <c r="D68" i="113" s="1"/>
  <c r="D69" i="113" s="1"/>
  <c r="D70" i="113" s="1"/>
  <c r="D71" i="113" s="1"/>
  <c r="D72" i="113" s="1"/>
  <c r="D73" i="113" s="1"/>
  <c r="E64" i="113"/>
  <c r="W62" i="113"/>
  <c r="W61" i="113"/>
  <c r="AA59" i="113"/>
  <c r="W58" i="113"/>
  <c r="V58" i="113"/>
  <c r="B58" i="113"/>
  <c r="B59" i="113" s="1"/>
  <c r="B60" i="113" s="1"/>
  <c r="B61" i="113" s="1"/>
  <c r="B62" i="113" s="1"/>
  <c r="B63" i="113" s="1"/>
  <c r="B64" i="113" s="1"/>
  <c r="B65" i="113" s="1"/>
  <c r="B66" i="113" s="1"/>
  <c r="B67" i="113" s="1"/>
  <c r="B68" i="113" s="1"/>
  <c r="B69" i="113" s="1"/>
  <c r="B70" i="113" s="1"/>
  <c r="B71" i="113" s="1"/>
  <c r="B72" i="113" s="1"/>
  <c r="B73" i="113" s="1"/>
  <c r="W57" i="113"/>
  <c r="B57" i="113"/>
  <c r="AA56" i="113"/>
  <c r="W55" i="113"/>
  <c r="V55" i="113"/>
  <c r="D55" i="113"/>
  <c r="D56" i="113" s="1"/>
  <c r="D57" i="113" s="1"/>
  <c r="D58" i="113" s="1"/>
  <c r="D59" i="113" s="1"/>
  <c r="D60" i="113" s="1"/>
  <c r="D61" i="113" s="1"/>
  <c r="D62" i="113" s="1"/>
  <c r="D63" i="113" s="1"/>
  <c r="B55" i="113"/>
  <c r="B56" i="113" s="1"/>
  <c r="C55" i="113"/>
  <c r="C56" i="113" s="1"/>
  <c r="C57" i="113" s="1"/>
  <c r="C58" i="113" s="1"/>
  <c r="C59" i="113" s="1"/>
  <c r="C60" i="113" s="1"/>
  <c r="C61" i="113" s="1"/>
  <c r="C62" i="113" s="1"/>
  <c r="C63" i="113" s="1"/>
  <c r="C64" i="113" s="1"/>
  <c r="C65" i="113" s="1"/>
  <c r="C66" i="113" s="1"/>
  <c r="C67" i="113" s="1"/>
  <c r="C68" i="113" s="1"/>
  <c r="C69" i="113" s="1"/>
  <c r="C70" i="113" s="1"/>
  <c r="C71" i="113" s="1"/>
  <c r="C72" i="113" s="1"/>
  <c r="C73" i="113" s="1"/>
  <c r="Z53" i="113"/>
  <c r="W53" i="113"/>
  <c r="E53" i="113"/>
  <c r="W52" i="113"/>
  <c r="V52" i="113"/>
  <c r="E52" i="113"/>
  <c r="AA51" i="113"/>
  <c r="W51" i="113"/>
  <c r="E51" i="113"/>
  <c r="V50" i="113"/>
  <c r="E50" i="113"/>
  <c r="V49" i="113"/>
  <c r="AB49" i="113"/>
  <c r="E49" i="113"/>
  <c r="AA48" i="113"/>
  <c r="E48" i="113"/>
  <c r="Z47" i="113"/>
  <c r="E47" i="113"/>
  <c r="AA46" i="113"/>
  <c r="E46" i="113"/>
  <c r="D46" i="113"/>
  <c r="D47" i="113" s="1"/>
  <c r="D48" i="113" s="1"/>
  <c r="D49" i="113" s="1"/>
  <c r="D50" i="113" s="1"/>
  <c r="D51" i="113" s="1"/>
  <c r="D52" i="113" s="1"/>
  <c r="D53" i="113" s="1"/>
  <c r="W45" i="113"/>
  <c r="E45" i="113"/>
  <c r="D45" i="113"/>
  <c r="Z44" i="113"/>
  <c r="W44" i="113"/>
  <c r="E44" i="113"/>
  <c r="B44" i="113"/>
  <c r="B45" i="113" s="1"/>
  <c r="B46" i="113" s="1"/>
  <c r="B47" i="113" s="1"/>
  <c r="B48" i="113" s="1"/>
  <c r="B49" i="113" s="1"/>
  <c r="B50" i="113" s="1"/>
  <c r="B51" i="113" s="1"/>
  <c r="B52" i="113" s="1"/>
  <c r="B53" i="113" s="1"/>
  <c r="W43" i="113"/>
  <c r="W42" i="113"/>
  <c r="AC42" i="113"/>
  <c r="W41" i="113"/>
  <c r="V41" i="113"/>
  <c r="AA40" i="113"/>
  <c r="W40" i="113"/>
  <c r="V39" i="113"/>
  <c r="Z39" i="113"/>
  <c r="V38" i="113"/>
  <c r="W38" i="113"/>
  <c r="W36" i="113"/>
  <c r="AA36" i="113"/>
  <c r="AA35" i="113"/>
  <c r="Z35" i="113"/>
  <c r="D35" i="113"/>
  <c r="D36" i="113" s="1"/>
  <c r="D37" i="113" s="1"/>
  <c r="D38" i="113" s="1"/>
  <c r="D39" i="113" s="1"/>
  <c r="D40" i="113" s="1"/>
  <c r="D41" i="113" s="1"/>
  <c r="D42" i="113" s="1"/>
  <c r="D43" i="113" s="1"/>
  <c r="B35" i="113"/>
  <c r="B36" i="113" s="1"/>
  <c r="B37" i="113" s="1"/>
  <c r="B38" i="113" s="1"/>
  <c r="B39" i="113" s="1"/>
  <c r="B40" i="113" s="1"/>
  <c r="B41" i="113" s="1"/>
  <c r="B42" i="113" s="1"/>
  <c r="B43" i="113" s="1"/>
  <c r="AA34" i="113"/>
  <c r="Z34" i="113"/>
  <c r="W33" i="113"/>
  <c r="E33" i="113"/>
  <c r="AA32" i="113"/>
  <c r="E32" i="113"/>
  <c r="W31" i="113"/>
  <c r="E31" i="113"/>
  <c r="X30" i="113"/>
  <c r="E30" i="113"/>
  <c r="AB29" i="113"/>
  <c r="E29" i="113"/>
  <c r="W28" i="113"/>
  <c r="E28" i="113"/>
  <c r="X27" i="113"/>
  <c r="W27" i="113"/>
  <c r="AB27" i="113"/>
  <c r="E27" i="113"/>
  <c r="W26" i="113"/>
  <c r="E26" i="113"/>
  <c r="X25" i="113"/>
  <c r="E25" i="113"/>
  <c r="D25" i="113"/>
  <c r="D26" i="113" s="1"/>
  <c r="D27" i="113" s="1"/>
  <c r="D28" i="113" s="1"/>
  <c r="D29" i="113" s="1"/>
  <c r="D30" i="113" s="1"/>
  <c r="D31" i="113" s="1"/>
  <c r="D32" i="113" s="1"/>
  <c r="D33" i="113" s="1"/>
  <c r="AB24" i="113"/>
  <c r="X24" i="113"/>
  <c r="E24" i="113"/>
  <c r="Z23" i="113"/>
  <c r="X23" i="113"/>
  <c r="AB22" i="113"/>
  <c r="AB21" i="113"/>
  <c r="W21" i="113"/>
  <c r="X19" i="113"/>
  <c r="AC19" i="113"/>
  <c r="AB19" i="113"/>
  <c r="W19" i="113"/>
  <c r="V18" i="113"/>
  <c r="V17" i="113"/>
  <c r="AB17" i="113"/>
  <c r="X17" i="113"/>
  <c r="AB16" i="113"/>
  <c r="B16" i="113"/>
  <c r="B17" i="113" s="1"/>
  <c r="B18" i="113" s="1"/>
  <c r="B19" i="113" s="1"/>
  <c r="B20" i="113" s="1"/>
  <c r="B21" i="113" s="1"/>
  <c r="B22" i="113" s="1"/>
  <c r="B23" i="113" s="1"/>
  <c r="B24" i="113" s="1"/>
  <c r="B25" i="113" s="1"/>
  <c r="B26" i="113" s="1"/>
  <c r="B27" i="113" s="1"/>
  <c r="B28" i="113" s="1"/>
  <c r="B29" i="113" s="1"/>
  <c r="B30" i="113" s="1"/>
  <c r="B31" i="113" s="1"/>
  <c r="B32" i="113" s="1"/>
  <c r="B33" i="113" s="1"/>
  <c r="AA15" i="113"/>
  <c r="AB15" i="113"/>
  <c r="D15" i="113"/>
  <c r="B15" i="113"/>
  <c r="P13" i="113"/>
  <c r="Q13" i="113" s="1"/>
  <c r="R13" i="113" s="1"/>
  <c r="S13" i="113" s="1"/>
  <c r="T13" i="113" s="1"/>
  <c r="U13" i="113" s="1"/>
  <c r="J10" i="113"/>
  <c r="I5" i="113"/>
  <c r="H7" i="113"/>
  <c r="J5" i="113"/>
  <c r="J4" i="113"/>
  <c r="F3" i="113"/>
  <c r="K1" i="113"/>
  <c r="Q82" i="112"/>
  <c r="P82" i="112"/>
  <c r="O82" i="112"/>
  <c r="N82" i="112"/>
  <c r="M82" i="112"/>
  <c r="L82" i="112"/>
  <c r="Q80" i="112"/>
  <c r="T79" i="112"/>
  <c r="S79" i="112"/>
  <c r="R79" i="112"/>
  <c r="Q79" i="112"/>
  <c r="P79" i="112"/>
  <c r="O79" i="112"/>
  <c r="N79" i="112"/>
  <c r="M79" i="112"/>
  <c r="L79" i="112"/>
  <c r="K79" i="112"/>
  <c r="J79" i="112"/>
  <c r="I79" i="112"/>
  <c r="H79" i="112"/>
  <c r="G79" i="112"/>
  <c r="F79" i="112"/>
  <c r="S78" i="112"/>
  <c r="Q78" i="112"/>
  <c r="L78" i="112"/>
  <c r="J78" i="112"/>
  <c r="O78" i="112" s="1"/>
  <c r="T78" i="112" s="1"/>
  <c r="I78" i="112"/>
  <c r="N78" i="112" s="1"/>
  <c r="H78" i="112"/>
  <c r="M78" i="112" s="1"/>
  <c r="R78" i="112" s="1"/>
  <c r="G78" i="112"/>
  <c r="F78" i="112"/>
  <c r="K78" i="112" s="1"/>
  <c r="P78" i="112" s="1"/>
  <c r="S73" i="112"/>
  <c r="R73" i="112"/>
  <c r="R75" i="112" s="1"/>
  <c r="U64" i="112"/>
  <c r="T64" i="112"/>
  <c r="S64" i="112"/>
  <c r="R64" i="112"/>
  <c r="Q64" i="112"/>
  <c r="P64" i="112"/>
  <c r="O64" i="112"/>
  <c r="N64" i="112"/>
  <c r="W59" i="112"/>
  <c r="W58" i="112"/>
  <c r="U58" i="112"/>
  <c r="B58" i="112"/>
  <c r="B59" i="112" s="1"/>
  <c r="W57" i="112"/>
  <c r="W56" i="112"/>
  <c r="U56" i="112"/>
  <c r="B56" i="112"/>
  <c r="B57" i="112" s="1"/>
  <c r="V55" i="112"/>
  <c r="U55" i="112"/>
  <c r="W54" i="112"/>
  <c r="W53" i="112"/>
  <c r="U53" i="112"/>
  <c r="R53" i="112"/>
  <c r="B53" i="112"/>
  <c r="B54" i="112" s="1"/>
  <c r="W52" i="112"/>
  <c r="T52" i="112"/>
  <c r="W51" i="112"/>
  <c r="R51" i="112"/>
  <c r="B51" i="112"/>
  <c r="B52" i="112" s="1"/>
  <c r="W50" i="112"/>
  <c r="W49" i="112"/>
  <c r="U49" i="112"/>
  <c r="W48" i="112"/>
  <c r="W47" i="112"/>
  <c r="S47" i="112"/>
  <c r="T47" i="112"/>
  <c r="W46" i="112"/>
  <c r="U45" i="112"/>
  <c r="R45" i="112"/>
  <c r="W44" i="112"/>
  <c r="W43" i="112"/>
  <c r="V43" i="112"/>
  <c r="S43" i="112"/>
  <c r="W42" i="112"/>
  <c r="W41" i="112"/>
  <c r="T41" i="112"/>
  <c r="R41" i="112"/>
  <c r="V40" i="112"/>
  <c r="T40" i="112"/>
  <c r="W39" i="112"/>
  <c r="D39" i="112"/>
  <c r="D44" i="112" s="1"/>
  <c r="D49" i="112" s="1"/>
  <c r="D54" i="112" s="1"/>
  <c r="D59" i="112" s="1"/>
  <c r="W38" i="112"/>
  <c r="S38" i="112"/>
  <c r="D38" i="112"/>
  <c r="D43" i="112" s="1"/>
  <c r="D48" i="112" s="1"/>
  <c r="D53" i="112" s="1"/>
  <c r="D58" i="112" s="1"/>
  <c r="W37" i="112"/>
  <c r="W36" i="112"/>
  <c r="U35" i="112"/>
  <c r="T35" i="112"/>
  <c r="W34" i="112"/>
  <c r="D34" i="112"/>
  <c r="W33" i="112"/>
  <c r="V33" i="112"/>
  <c r="R33" i="112"/>
  <c r="D33" i="112"/>
  <c r="W32" i="112"/>
  <c r="D32" i="112"/>
  <c r="D37" i="112" s="1"/>
  <c r="D42" i="112" s="1"/>
  <c r="D47" i="112" s="1"/>
  <c r="D52" i="112" s="1"/>
  <c r="D57" i="112" s="1"/>
  <c r="W31" i="112"/>
  <c r="D31" i="112"/>
  <c r="D36" i="112" s="1"/>
  <c r="D41" i="112" s="1"/>
  <c r="D46" i="112" s="1"/>
  <c r="D51" i="112" s="1"/>
  <c r="D56" i="112" s="1"/>
  <c r="W30" i="112"/>
  <c r="D30" i="112"/>
  <c r="W29" i="112"/>
  <c r="W28" i="112"/>
  <c r="W27" i="112"/>
  <c r="W26" i="112"/>
  <c r="T26" i="112"/>
  <c r="A25" i="112"/>
  <c r="W23" i="112"/>
  <c r="V23" i="112"/>
  <c r="T23" i="112"/>
  <c r="Q23" i="112"/>
  <c r="P23" i="112"/>
  <c r="O23" i="112"/>
  <c r="U23" i="112" s="1"/>
  <c r="N23" i="112"/>
  <c r="M23" i="112"/>
  <c r="S23" i="112" s="1"/>
  <c r="L23" i="112"/>
  <c r="R23" i="112" s="1"/>
  <c r="J7" i="112"/>
  <c r="I7" i="112"/>
  <c r="H7" i="112"/>
  <c r="G7" i="112"/>
  <c r="F7" i="112"/>
  <c r="D5" i="112"/>
  <c r="D4" i="112"/>
  <c r="D3" i="112"/>
  <c r="B259" i="111"/>
  <c r="G254" i="111"/>
  <c r="F254" i="111"/>
  <c r="B251" i="111"/>
  <c r="B249" i="111"/>
  <c r="L247" i="111"/>
  <c r="K247" i="111"/>
  <c r="J247" i="111"/>
  <c r="I247" i="111"/>
  <c r="H247" i="111"/>
  <c r="G247" i="111"/>
  <c r="F247" i="111"/>
  <c r="E247" i="111"/>
  <c r="B245" i="111"/>
  <c r="B242" i="111"/>
  <c r="F239" i="111"/>
  <c r="B237" i="111"/>
  <c r="B248" i="111" s="1"/>
  <c r="F236" i="111"/>
  <c r="B234" i="111"/>
  <c r="B231" i="111"/>
  <c r="B228" i="111"/>
  <c r="J227" i="111"/>
  <c r="I227" i="111"/>
  <c r="H227" i="111"/>
  <c r="G227" i="111"/>
  <c r="B227" i="111"/>
  <c r="J224" i="111"/>
  <c r="I224" i="111"/>
  <c r="H224" i="111"/>
  <c r="G224" i="111"/>
  <c r="B224" i="111"/>
  <c r="J223" i="111"/>
  <c r="I223" i="111"/>
  <c r="H223" i="111"/>
  <c r="G223" i="111"/>
  <c r="B223" i="111"/>
  <c r="B218" i="111"/>
  <c r="L216" i="111"/>
  <c r="K216" i="111"/>
  <c r="J216" i="111"/>
  <c r="I216" i="111"/>
  <c r="H216" i="111"/>
  <c r="G216" i="111"/>
  <c r="F216" i="111"/>
  <c r="E216" i="111"/>
  <c r="L211" i="111"/>
  <c r="K211" i="111"/>
  <c r="J211" i="111"/>
  <c r="I211" i="111"/>
  <c r="H211" i="111"/>
  <c r="G211" i="111"/>
  <c r="F211" i="111"/>
  <c r="E211" i="111"/>
  <c r="L206" i="111"/>
  <c r="K206" i="111"/>
  <c r="J206" i="111"/>
  <c r="I206" i="111"/>
  <c r="H206" i="111"/>
  <c r="G206" i="111"/>
  <c r="F206" i="111"/>
  <c r="E206" i="111"/>
  <c r="L201" i="111"/>
  <c r="K201" i="111"/>
  <c r="J201" i="111"/>
  <c r="I201" i="111"/>
  <c r="H201" i="111"/>
  <c r="G201" i="111"/>
  <c r="F201" i="111"/>
  <c r="E201" i="111"/>
  <c r="L196" i="111"/>
  <c r="K196" i="111"/>
  <c r="J196" i="111"/>
  <c r="I196" i="111"/>
  <c r="H196" i="111"/>
  <c r="G196" i="111"/>
  <c r="F196" i="111"/>
  <c r="E196" i="111"/>
  <c r="L191" i="111"/>
  <c r="K191" i="111"/>
  <c r="J191" i="111"/>
  <c r="I191" i="111"/>
  <c r="H191" i="111"/>
  <c r="G191" i="111"/>
  <c r="F191" i="111"/>
  <c r="E191" i="111"/>
  <c r="L186" i="111"/>
  <c r="K186" i="111"/>
  <c r="J186" i="111"/>
  <c r="I186" i="111"/>
  <c r="H186" i="111"/>
  <c r="G186" i="111"/>
  <c r="F186" i="111"/>
  <c r="E186" i="111"/>
  <c r="L181" i="111"/>
  <c r="K181" i="111"/>
  <c r="J181" i="111"/>
  <c r="I181" i="111"/>
  <c r="H181" i="111"/>
  <c r="G181" i="111"/>
  <c r="F181" i="111"/>
  <c r="E181" i="111"/>
  <c r="L176" i="111"/>
  <c r="K176" i="111"/>
  <c r="J176" i="111"/>
  <c r="I176" i="111"/>
  <c r="H176" i="111"/>
  <c r="G176" i="111"/>
  <c r="F176" i="111"/>
  <c r="E176" i="111"/>
  <c r="L171" i="111"/>
  <c r="K171" i="111"/>
  <c r="J171" i="111"/>
  <c r="I171" i="111"/>
  <c r="H171" i="111"/>
  <c r="G171" i="111"/>
  <c r="F171" i="111"/>
  <c r="E171" i="111"/>
  <c r="B163" i="111"/>
  <c r="B160" i="111"/>
  <c r="J157" i="111"/>
  <c r="I157" i="111"/>
  <c r="H157" i="111"/>
  <c r="G157" i="111"/>
  <c r="B157" i="111"/>
  <c r="J156" i="111"/>
  <c r="I156" i="111"/>
  <c r="H156" i="111"/>
  <c r="G156" i="111"/>
  <c r="B156" i="111"/>
  <c r="J153" i="111"/>
  <c r="I153" i="111"/>
  <c r="H153" i="111"/>
  <c r="G153" i="111"/>
  <c r="B153" i="111"/>
  <c r="J152" i="111"/>
  <c r="I152" i="111"/>
  <c r="H152" i="111"/>
  <c r="G152" i="111"/>
  <c r="B152" i="111"/>
  <c r="B147" i="111"/>
  <c r="L145" i="111"/>
  <c r="K145" i="111"/>
  <c r="J145" i="111"/>
  <c r="I145" i="111"/>
  <c r="H145" i="111"/>
  <c r="G145" i="111"/>
  <c r="F145" i="111"/>
  <c r="E145" i="111"/>
  <c r="B141" i="111"/>
  <c r="B212" i="111" s="1"/>
  <c r="L140" i="111"/>
  <c r="K140" i="111"/>
  <c r="J140" i="111"/>
  <c r="I140" i="111"/>
  <c r="H140" i="111"/>
  <c r="G140" i="111"/>
  <c r="F140" i="111"/>
  <c r="E140" i="111"/>
  <c r="B136" i="111"/>
  <c r="B207" i="111" s="1"/>
  <c r="L135" i="111"/>
  <c r="K135" i="111"/>
  <c r="J135" i="111"/>
  <c r="I135" i="111"/>
  <c r="H135" i="111"/>
  <c r="G135" i="111"/>
  <c r="F135" i="111"/>
  <c r="E135" i="111"/>
  <c r="B131" i="111"/>
  <c r="B202" i="111" s="1"/>
  <c r="L130" i="111"/>
  <c r="K130" i="111"/>
  <c r="J130" i="111"/>
  <c r="I130" i="111"/>
  <c r="H130" i="111"/>
  <c r="G130" i="111"/>
  <c r="F130" i="111"/>
  <c r="E130" i="111"/>
  <c r="B126" i="111"/>
  <c r="B197" i="111" s="1"/>
  <c r="L125" i="111"/>
  <c r="K125" i="111"/>
  <c r="J125" i="111"/>
  <c r="I125" i="111"/>
  <c r="H125" i="111"/>
  <c r="G125" i="111"/>
  <c r="F125" i="111"/>
  <c r="E125" i="111"/>
  <c r="B121" i="111"/>
  <c r="B192" i="111" s="1"/>
  <c r="L120" i="111"/>
  <c r="K120" i="111"/>
  <c r="J120" i="111"/>
  <c r="I120" i="111"/>
  <c r="H120" i="111"/>
  <c r="G120" i="111"/>
  <c r="F120" i="111"/>
  <c r="E120" i="111"/>
  <c r="B116" i="111"/>
  <c r="B187" i="111" s="1"/>
  <c r="L115" i="111"/>
  <c r="K115" i="111"/>
  <c r="J115" i="111"/>
  <c r="I115" i="111"/>
  <c r="H115" i="111"/>
  <c r="G115" i="111"/>
  <c r="F115" i="111"/>
  <c r="E115" i="111"/>
  <c r="B111" i="111"/>
  <c r="B182" i="111" s="1"/>
  <c r="L110" i="111"/>
  <c r="K110" i="111"/>
  <c r="J110" i="111"/>
  <c r="I110" i="111"/>
  <c r="H110" i="111"/>
  <c r="G110" i="111"/>
  <c r="F110" i="111"/>
  <c r="E110" i="111"/>
  <c r="B106" i="111"/>
  <c r="B177" i="111" s="1"/>
  <c r="L105" i="111"/>
  <c r="K105" i="111"/>
  <c r="J105" i="111"/>
  <c r="I105" i="111"/>
  <c r="H105" i="111"/>
  <c r="G105" i="111"/>
  <c r="F105" i="111"/>
  <c r="E105" i="111"/>
  <c r="B101" i="111"/>
  <c r="B172" i="111" s="1"/>
  <c r="L100" i="111"/>
  <c r="K100" i="111"/>
  <c r="J100" i="111"/>
  <c r="I100" i="111"/>
  <c r="H100" i="111"/>
  <c r="G100" i="111"/>
  <c r="F100" i="111"/>
  <c r="E100" i="111"/>
  <c r="B100" i="111"/>
  <c r="B99" i="111"/>
  <c r="B155" i="111" s="1"/>
  <c r="B96" i="111"/>
  <c r="B167" i="111" s="1"/>
  <c r="B93" i="111"/>
  <c r="B90" i="111"/>
  <c r="G87" i="111"/>
  <c r="B87" i="111"/>
  <c r="J86" i="111"/>
  <c r="I86" i="111"/>
  <c r="H86" i="111"/>
  <c r="G86" i="111"/>
  <c r="B86" i="111"/>
  <c r="H84" i="111"/>
  <c r="G84" i="111"/>
  <c r="B83" i="111"/>
  <c r="J82" i="111"/>
  <c r="I82" i="111"/>
  <c r="H82" i="111"/>
  <c r="G82" i="111"/>
  <c r="B82" i="111"/>
  <c r="H80" i="111"/>
  <c r="H150" i="111" s="1"/>
  <c r="G80" i="111"/>
  <c r="G150" i="111" s="1"/>
  <c r="B77" i="111"/>
  <c r="L75" i="111"/>
  <c r="K75" i="111"/>
  <c r="J75" i="111"/>
  <c r="I75" i="111"/>
  <c r="H75" i="111"/>
  <c r="G75" i="111"/>
  <c r="F75" i="111"/>
  <c r="E75" i="111"/>
  <c r="P73" i="111"/>
  <c r="O73" i="111"/>
  <c r="B72" i="111"/>
  <c r="L71" i="111"/>
  <c r="K71" i="111"/>
  <c r="J71" i="111"/>
  <c r="I71" i="111"/>
  <c r="H71" i="111"/>
  <c r="G71" i="111"/>
  <c r="F71" i="111"/>
  <c r="E71" i="111"/>
  <c r="P69" i="111"/>
  <c r="O69" i="111"/>
  <c r="B68" i="111"/>
  <c r="L67" i="111"/>
  <c r="K67" i="111"/>
  <c r="J67" i="111"/>
  <c r="I67" i="111"/>
  <c r="H67" i="111"/>
  <c r="G67" i="111"/>
  <c r="F67" i="111"/>
  <c r="E67" i="111"/>
  <c r="P65" i="111"/>
  <c r="O65" i="111"/>
  <c r="B64" i="111"/>
  <c r="L63" i="111"/>
  <c r="K63" i="111"/>
  <c r="J63" i="111"/>
  <c r="I63" i="111"/>
  <c r="H63" i="111"/>
  <c r="G63" i="111"/>
  <c r="F63" i="111"/>
  <c r="E63" i="111"/>
  <c r="P61" i="111"/>
  <c r="O61" i="111"/>
  <c r="B60" i="111"/>
  <c r="L59" i="111"/>
  <c r="K59" i="111"/>
  <c r="J59" i="111"/>
  <c r="I59" i="111"/>
  <c r="H59" i="111"/>
  <c r="G59" i="111"/>
  <c r="F59" i="111"/>
  <c r="E59" i="111"/>
  <c r="P57" i="111"/>
  <c r="O57" i="111"/>
  <c r="B56" i="111"/>
  <c r="L55" i="111"/>
  <c r="L95" i="111" s="1"/>
  <c r="L166" i="111" s="1"/>
  <c r="B52" i="111"/>
  <c r="B49" i="111"/>
  <c r="K46" i="111"/>
  <c r="J46" i="111"/>
  <c r="I46" i="111"/>
  <c r="H46" i="111"/>
  <c r="G46" i="111"/>
  <c r="K45" i="111"/>
  <c r="J228" i="111" s="1"/>
  <c r="J45" i="111"/>
  <c r="I45" i="111"/>
  <c r="H45" i="111"/>
  <c r="G45" i="111"/>
  <c r="K44" i="111"/>
  <c r="J83" i="111" s="1"/>
  <c r="J44" i="111"/>
  <c r="I83" i="111" s="1"/>
  <c r="I44" i="111"/>
  <c r="H83" i="111" s="1"/>
  <c r="H44" i="111"/>
  <c r="G83" i="111" s="1"/>
  <c r="G44" i="111"/>
  <c r="G42" i="92" s="1"/>
  <c r="B44" i="111"/>
  <c r="K43" i="111"/>
  <c r="J43" i="111"/>
  <c r="I43" i="111"/>
  <c r="H43" i="111"/>
  <c r="G43" i="111"/>
  <c r="K40" i="111"/>
  <c r="J40" i="111"/>
  <c r="I40" i="111"/>
  <c r="H40" i="111"/>
  <c r="G40" i="111"/>
  <c r="D39" i="111"/>
  <c r="D42" i="111" s="1"/>
  <c r="B37" i="111"/>
  <c r="K36" i="111"/>
  <c r="J36" i="111"/>
  <c r="I36" i="111"/>
  <c r="H36" i="111"/>
  <c r="G36" i="111"/>
  <c r="P34" i="111"/>
  <c r="O34" i="111"/>
  <c r="B41" i="111" s="1"/>
  <c r="B34" i="111"/>
  <c r="K33" i="111"/>
  <c r="J33" i="111"/>
  <c r="I33" i="111"/>
  <c r="H33" i="111"/>
  <c r="G33" i="111"/>
  <c r="D32" i="111"/>
  <c r="B205" i="111" s="1"/>
  <c r="P31" i="111"/>
  <c r="O31" i="111"/>
  <c r="B38" i="111" s="1"/>
  <c r="D31" i="111"/>
  <c r="B189" i="111" s="1"/>
  <c r="B31" i="111"/>
  <c r="B30" i="111"/>
  <c r="B29" i="111"/>
  <c r="K28" i="111"/>
  <c r="J28" i="111"/>
  <c r="I28" i="111"/>
  <c r="H28" i="111"/>
  <c r="G28" i="111"/>
  <c r="D28" i="111"/>
  <c r="B115" i="111" s="1"/>
  <c r="D27" i="111"/>
  <c r="B114" i="111" s="1"/>
  <c r="D26" i="111"/>
  <c r="B143" i="111" s="1"/>
  <c r="B26" i="111"/>
  <c r="B25" i="111"/>
  <c r="K24" i="111"/>
  <c r="J80" i="111" s="1"/>
  <c r="J24" i="111"/>
  <c r="I80" i="111" s="1"/>
  <c r="G24" i="111"/>
  <c r="H24" i="111" s="1"/>
  <c r="I24" i="111" s="1"/>
  <c r="B22" i="111"/>
  <c r="G21" i="111"/>
  <c r="B21" i="111"/>
  <c r="B18" i="111"/>
  <c r="B16" i="111"/>
  <c r="B10" i="111"/>
  <c r="B5" i="111"/>
  <c r="B259" i="110"/>
  <c r="G254" i="110"/>
  <c r="F254" i="110" s="1"/>
  <c r="B251" i="110"/>
  <c r="B249" i="110"/>
  <c r="L247" i="110"/>
  <c r="K247" i="110"/>
  <c r="J247" i="110"/>
  <c r="I247" i="110"/>
  <c r="H247" i="110"/>
  <c r="G247" i="110"/>
  <c r="F247" i="110"/>
  <c r="E247" i="110"/>
  <c r="B245" i="110"/>
  <c r="B242" i="110"/>
  <c r="F239" i="110"/>
  <c r="B237" i="110"/>
  <c r="B248" i="110" s="1"/>
  <c r="F236" i="110"/>
  <c r="B234" i="110"/>
  <c r="B231" i="110"/>
  <c r="G228" i="110"/>
  <c r="B228" i="110"/>
  <c r="J227" i="110"/>
  <c r="I227" i="110"/>
  <c r="H227" i="110"/>
  <c r="G227" i="110"/>
  <c r="B227" i="110"/>
  <c r="J224" i="110"/>
  <c r="I224" i="110"/>
  <c r="H224" i="110"/>
  <c r="G224" i="110"/>
  <c r="B224" i="110"/>
  <c r="J223" i="110"/>
  <c r="I223" i="110"/>
  <c r="H223" i="110"/>
  <c r="G223" i="110"/>
  <c r="B223" i="110"/>
  <c r="B218" i="110"/>
  <c r="L216" i="110"/>
  <c r="K216" i="110"/>
  <c r="J216" i="110"/>
  <c r="I216" i="110"/>
  <c r="H216" i="110"/>
  <c r="G216" i="110"/>
  <c r="F216" i="110"/>
  <c r="E216" i="110"/>
  <c r="B212" i="110"/>
  <c r="L211" i="110"/>
  <c r="K211" i="110"/>
  <c r="J211" i="110"/>
  <c r="I211" i="110"/>
  <c r="H211" i="110"/>
  <c r="G211" i="110"/>
  <c r="F211" i="110"/>
  <c r="E211" i="110"/>
  <c r="L206" i="110"/>
  <c r="K206" i="110"/>
  <c r="J206" i="110"/>
  <c r="I206" i="110"/>
  <c r="H206" i="110"/>
  <c r="G206" i="110"/>
  <c r="F206" i="110"/>
  <c r="E206" i="110"/>
  <c r="L201" i="110"/>
  <c r="K201" i="110"/>
  <c r="J201" i="110"/>
  <c r="I201" i="110"/>
  <c r="H201" i="110"/>
  <c r="G201" i="110"/>
  <c r="F201" i="110"/>
  <c r="E201" i="110"/>
  <c r="L196" i="110"/>
  <c r="K196" i="110"/>
  <c r="J196" i="110"/>
  <c r="I196" i="110"/>
  <c r="H196" i="110"/>
  <c r="G196" i="110"/>
  <c r="F196" i="110"/>
  <c r="E196" i="110"/>
  <c r="L191" i="110"/>
  <c r="K191" i="110"/>
  <c r="J191" i="110"/>
  <c r="I191" i="110"/>
  <c r="H191" i="110"/>
  <c r="G191" i="110"/>
  <c r="F191" i="110"/>
  <c r="E191" i="110"/>
  <c r="L186" i="110"/>
  <c r="K186" i="110"/>
  <c r="J186" i="110"/>
  <c r="I186" i="110"/>
  <c r="H186" i="110"/>
  <c r="G186" i="110"/>
  <c r="F186" i="110"/>
  <c r="E186" i="110"/>
  <c r="L181" i="110"/>
  <c r="K181" i="110"/>
  <c r="J181" i="110"/>
  <c r="I181" i="110"/>
  <c r="H181" i="110"/>
  <c r="G181" i="110"/>
  <c r="F181" i="110"/>
  <c r="E181" i="110"/>
  <c r="L176" i="110"/>
  <c r="K176" i="110"/>
  <c r="J176" i="110"/>
  <c r="I176" i="110"/>
  <c r="H176" i="110"/>
  <c r="G176" i="110"/>
  <c r="F176" i="110"/>
  <c r="E176" i="110"/>
  <c r="L171" i="110"/>
  <c r="K171" i="110"/>
  <c r="J171" i="110"/>
  <c r="I171" i="110"/>
  <c r="H171" i="110"/>
  <c r="G171" i="110"/>
  <c r="F171" i="110"/>
  <c r="E171" i="110"/>
  <c r="B163" i="110"/>
  <c r="B160" i="110"/>
  <c r="J157" i="110"/>
  <c r="I157" i="110"/>
  <c r="H157" i="110"/>
  <c r="G157" i="110"/>
  <c r="B157" i="110"/>
  <c r="J156" i="110"/>
  <c r="I156" i="110"/>
  <c r="H156" i="110"/>
  <c r="G156" i="110"/>
  <c r="B156" i="110"/>
  <c r="J153" i="110"/>
  <c r="I153" i="110"/>
  <c r="H153" i="110"/>
  <c r="G153" i="110"/>
  <c r="B153" i="110"/>
  <c r="J152" i="110"/>
  <c r="I152" i="110"/>
  <c r="H152" i="110"/>
  <c r="G152" i="110"/>
  <c r="B152" i="110"/>
  <c r="B147" i="110"/>
  <c r="L145" i="110"/>
  <c r="K145" i="110"/>
  <c r="J145" i="110"/>
  <c r="I145" i="110"/>
  <c r="H145" i="110"/>
  <c r="G145" i="110"/>
  <c r="F145" i="110"/>
  <c r="E145" i="110"/>
  <c r="B141" i="110"/>
  <c r="L140" i="110"/>
  <c r="K140" i="110"/>
  <c r="J140" i="110"/>
  <c r="I140" i="110"/>
  <c r="H140" i="110"/>
  <c r="G140" i="110"/>
  <c r="F140" i="110"/>
  <c r="E140" i="110"/>
  <c r="B136" i="110"/>
  <c r="B207" i="110" s="1"/>
  <c r="L135" i="110"/>
  <c r="K135" i="110"/>
  <c r="J135" i="110"/>
  <c r="I135" i="110"/>
  <c r="H135" i="110"/>
  <c r="G135" i="110"/>
  <c r="F135" i="110"/>
  <c r="E135" i="110"/>
  <c r="B131" i="110"/>
  <c r="B202" i="110" s="1"/>
  <c r="L130" i="110"/>
  <c r="K130" i="110"/>
  <c r="J130" i="110"/>
  <c r="I130" i="110"/>
  <c r="H130" i="110"/>
  <c r="G130" i="110"/>
  <c r="F130" i="110"/>
  <c r="E130" i="110"/>
  <c r="B126" i="110"/>
  <c r="B197" i="110" s="1"/>
  <c r="L125" i="110"/>
  <c r="K125" i="110"/>
  <c r="J125" i="110"/>
  <c r="I125" i="110"/>
  <c r="H125" i="110"/>
  <c r="G125" i="110"/>
  <c r="F125" i="110"/>
  <c r="E125" i="110"/>
  <c r="B123" i="110"/>
  <c r="B121" i="110"/>
  <c r="B192" i="110" s="1"/>
  <c r="L120" i="110"/>
  <c r="K120" i="110"/>
  <c r="J120" i="110"/>
  <c r="I120" i="110"/>
  <c r="H120" i="110"/>
  <c r="G120" i="110"/>
  <c r="F120" i="110"/>
  <c r="E120" i="110"/>
  <c r="B116" i="110"/>
  <c r="B187" i="110" s="1"/>
  <c r="L115" i="110"/>
  <c r="K115" i="110"/>
  <c r="J115" i="110"/>
  <c r="I115" i="110"/>
  <c r="H115" i="110"/>
  <c r="G115" i="110"/>
  <c r="F115" i="110"/>
  <c r="E115" i="110"/>
  <c r="B111" i="110"/>
  <c r="B182" i="110" s="1"/>
  <c r="L110" i="110"/>
  <c r="K110" i="110"/>
  <c r="J110" i="110"/>
  <c r="I110" i="110"/>
  <c r="H110" i="110"/>
  <c r="G110" i="110"/>
  <c r="F110" i="110"/>
  <c r="E110" i="110"/>
  <c r="B106" i="110"/>
  <c r="B177" i="110" s="1"/>
  <c r="L105" i="110"/>
  <c r="K105" i="110"/>
  <c r="J105" i="110"/>
  <c r="I105" i="110"/>
  <c r="H105" i="110"/>
  <c r="G105" i="110"/>
  <c r="F105" i="110"/>
  <c r="E105" i="110"/>
  <c r="B101" i="110"/>
  <c r="B172" i="110" s="1"/>
  <c r="L100" i="110"/>
  <c r="K100" i="110"/>
  <c r="J100" i="110"/>
  <c r="I100" i="110"/>
  <c r="H100" i="110"/>
  <c r="G100" i="110"/>
  <c r="F100" i="110"/>
  <c r="E100" i="110"/>
  <c r="B96" i="110"/>
  <c r="B167" i="110" s="1"/>
  <c r="B93" i="110"/>
  <c r="B90" i="110"/>
  <c r="G87" i="110"/>
  <c r="B87" i="110"/>
  <c r="J86" i="110"/>
  <c r="I86" i="110"/>
  <c r="H86" i="110"/>
  <c r="G86" i="110"/>
  <c r="B86" i="110"/>
  <c r="H84" i="110"/>
  <c r="G84" i="110"/>
  <c r="J83" i="110"/>
  <c r="G83" i="110"/>
  <c r="B83" i="110"/>
  <c r="J82" i="110"/>
  <c r="I82" i="110"/>
  <c r="H82" i="110"/>
  <c r="G82" i="110"/>
  <c r="B82" i="110"/>
  <c r="H80" i="110"/>
  <c r="H150" i="110" s="1"/>
  <c r="G80" i="110"/>
  <c r="G150" i="110" s="1"/>
  <c r="B77" i="110"/>
  <c r="L75" i="110"/>
  <c r="K75" i="110"/>
  <c r="J75" i="110"/>
  <c r="I75" i="110"/>
  <c r="H75" i="110"/>
  <c r="G75" i="110"/>
  <c r="F75" i="110"/>
  <c r="E75" i="110"/>
  <c r="P73" i="110"/>
  <c r="O73" i="110"/>
  <c r="B72" i="110"/>
  <c r="L71" i="110"/>
  <c r="K71" i="110"/>
  <c r="J71" i="110"/>
  <c r="I71" i="110"/>
  <c r="H71" i="110"/>
  <c r="G71" i="110"/>
  <c r="F71" i="110"/>
  <c r="E71" i="110"/>
  <c r="P69" i="110"/>
  <c r="O69" i="110"/>
  <c r="B68" i="110"/>
  <c r="L67" i="110"/>
  <c r="K67" i="110"/>
  <c r="J67" i="110"/>
  <c r="I67" i="110"/>
  <c r="H67" i="110"/>
  <c r="G67" i="110"/>
  <c r="F67" i="110"/>
  <c r="E67" i="110"/>
  <c r="P65" i="110"/>
  <c r="O65" i="110"/>
  <c r="B64" i="110"/>
  <c r="L63" i="110"/>
  <c r="K63" i="110"/>
  <c r="J63" i="110"/>
  <c r="I63" i="110"/>
  <c r="H63" i="110"/>
  <c r="G63" i="110"/>
  <c r="F63" i="110"/>
  <c r="E63" i="110"/>
  <c r="P61" i="110"/>
  <c r="O61" i="110"/>
  <c r="B60" i="110"/>
  <c r="L59" i="110"/>
  <c r="K59" i="110"/>
  <c r="J59" i="110"/>
  <c r="I59" i="110"/>
  <c r="H59" i="110"/>
  <c r="G59" i="110"/>
  <c r="F59" i="110"/>
  <c r="E59" i="110"/>
  <c r="P57" i="110"/>
  <c r="O57" i="110"/>
  <c r="B56" i="110"/>
  <c r="L55" i="110"/>
  <c r="L95" i="110" s="1"/>
  <c r="L166" i="110" s="1"/>
  <c r="B52" i="110"/>
  <c r="B49" i="110"/>
  <c r="K46" i="110"/>
  <c r="I46" i="110"/>
  <c r="H46" i="110"/>
  <c r="G46" i="110"/>
  <c r="K45" i="110"/>
  <c r="J45" i="110"/>
  <c r="I87" i="110" s="1"/>
  <c r="I45" i="110"/>
  <c r="H228" i="110" s="1"/>
  <c r="H45" i="110"/>
  <c r="G45" i="110"/>
  <c r="K44" i="110"/>
  <c r="J44" i="110"/>
  <c r="I83" i="110" s="1"/>
  <c r="I44" i="110"/>
  <c r="I42" i="92" s="1"/>
  <c r="H44" i="110"/>
  <c r="G44" i="110"/>
  <c r="B44" i="110"/>
  <c r="K43" i="110"/>
  <c r="J43" i="110"/>
  <c r="I43" i="110"/>
  <c r="H43" i="110"/>
  <c r="G43" i="110"/>
  <c r="K40" i="110"/>
  <c r="J40" i="110"/>
  <c r="I40" i="110"/>
  <c r="H40" i="110"/>
  <c r="G40" i="110"/>
  <c r="D39" i="110"/>
  <c r="D42" i="110" s="1"/>
  <c r="B37" i="110"/>
  <c r="K36" i="110"/>
  <c r="J36" i="110"/>
  <c r="I36" i="110"/>
  <c r="H36" i="110"/>
  <c r="G36" i="110"/>
  <c r="P34" i="110"/>
  <c r="O34" i="110"/>
  <c r="B41" i="110" s="1"/>
  <c r="B34" i="110"/>
  <c r="K33" i="110"/>
  <c r="J33" i="110"/>
  <c r="I33" i="110"/>
  <c r="H33" i="110"/>
  <c r="G33" i="110"/>
  <c r="D32" i="110"/>
  <c r="B195" i="110" s="1"/>
  <c r="P31" i="110"/>
  <c r="O31" i="110"/>
  <c r="B38" i="110" s="1"/>
  <c r="B31" i="110"/>
  <c r="B30" i="110"/>
  <c r="B29" i="110"/>
  <c r="K28" i="110"/>
  <c r="J28" i="110"/>
  <c r="I28" i="110"/>
  <c r="H28" i="110"/>
  <c r="G28" i="110"/>
  <c r="D28" i="110"/>
  <c r="B115" i="110" s="1"/>
  <c r="D27" i="110"/>
  <c r="B114" i="110" s="1"/>
  <c r="D26" i="110"/>
  <c r="B143" i="110" s="1"/>
  <c r="B26" i="110"/>
  <c r="B25" i="110"/>
  <c r="K24" i="110"/>
  <c r="J80" i="110" s="1"/>
  <c r="J24" i="110"/>
  <c r="I80" i="110" s="1"/>
  <c r="G24" i="110"/>
  <c r="H24" i="110" s="1"/>
  <c r="I24" i="110" s="1"/>
  <c r="B22" i="110"/>
  <c r="G21" i="110"/>
  <c r="B21" i="110"/>
  <c r="B18" i="110"/>
  <c r="B16" i="110"/>
  <c r="B10" i="110"/>
  <c r="B5" i="110"/>
  <c r="H42" i="92"/>
  <c r="J42" i="92"/>
  <c r="K42" i="92"/>
  <c r="B42" i="90"/>
  <c r="B38" i="90"/>
  <c r="E42" i="90"/>
  <c r="F42" i="90"/>
  <c r="J156" i="106"/>
  <c r="J156" i="107"/>
  <c r="J156" i="105"/>
  <c r="J156" i="109"/>
  <c r="J156" i="91"/>
  <c r="F51" i="90"/>
  <c r="G51" i="90"/>
  <c r="H51" i="90"/>
  <c r="I51" i="90"/>
  <c r="E51" i="90"/>
  <c r="F50" i="90"/>
  <c r="G50" i="90"/>
  <c r="H50" i="90"/>
  <c r="I50" i="90"/>
  <c r="E50" i="90"/>
  <c r="F46" i="90"/>
  <c r="G46" i="90"/>
  <c r="H46" i="90"/>
  <c r="I46" i="90"/>
  <c r="E46" i="90"/>
  <c r="F45" i="90"/>
  <c r="G45" i="90"/>
  <c r="H45" i="90"/>
  <c r="I45" i="90"/>
  <c r="E45" i="90"/>
  <c r="F35" i="90"/>
  <c r="G35" i="90"/>
  <c r="H35" i="90"/>
  <c r="I35" i="90"/>
  <c r="E35" i="90"/>
  <c r="J227" i="106"/>
  <c r="I227" i="106"/>
  <c r="H227" i="106"/>
  <c r="G227" i="106"/>
  <c r="J223" i="106"/>
  <c r="I223" i="106"/>
  <c r="H223" i="106"/>
  <c r="G223" i="106"/>
  <c r="L216" i="106"/>
  <c r="K216" i="106"/>
  <c r="J216" i="106"/>
  <c r="I216" i="106"/>
  <c r="H216" i="106"/>
  <c r="G216" i="106"/>
  <c r="F216" i="106"/>
  <c r="E216" i="106"/>
  <c r="L211" i="106"/>
  <c r="K211" i="106"/>
  <c r="J211" i="106"/>
  <c r="I211" i="106"/>
  <c r="H211" i="106"/>
  <c r="G211" i="106"/>
  <c r="F211" i="106"/>
  <c r="E211" i="106"/>
  <c r="L206" i="106"/>
  <c r="K206" i="106"/>
  <c r="J206" i="106"/>
  <c r="I206" i="106"/>
  <c r="H206" i="106"/>
  <c r="G206" i="106"/>
  <c r="F206" i="106"/>
  <c r="E206" i="106"/>
  <c r="I156" i="106"/>
  <c r="H156" i="106"/>
  <c r="G156" i="106"/>
  <c r="J152" i="106"/>
  <c r="I152" i="106"/>
  <c r="H152" i="106"/>
  <c r="G152" i="106"/>
  <c r="F38" i="90"/>
  <c r="G38" i="90"/>
  <c r="H38" i="90"/>
  <c r="I38" i="90"/>
  <c r="E38" i="90"/>
  <c r="B141" i="106"/>
  <c r="B212" i="106" s="1"/>
  <c r="B136" i="106"/>
  <c r="B207" i="106" s="1"/>
  <c r="L145" i="106"/>
  <c r="K145" i="106"/>
  <c r="J145" i="106"/>
  <c r="I145" i="106"/>
  <c r="H145" i="106"/>
  <c r="G145" i="106"/>
  <c r="F145" i="106"/>
  <c r="E145" i="106"/>
  <c r="L140" i="106"/>
  <c r="K140" i="106"/>
  <c r="J140" i="106"/>
  <c r="I140" i="106"/>
  <c r="H140" i="106"/>
  <c r="G140" i="106"/>
  <c r="F140" i="106"/>
  <c r="E140" i="106"/>
  <c r="J227" i="107"/>
  <c r="I227" i="107"/>
  <c r="H227" i="107"/>
  <c r="G227" i="107"/>
  <c r="J223" i="107"/>
  <c r="I223" i="107"/>
  <c r="H223" i="107"/>
  <c r="G223" i="107"/>
  <c r="L216" i="107"/>
  <c r="K216" i="107"/>
  <c r="J216" i="107"/>
  <c r="I216" i="107"/>
  <c r="H216" i="107"/>
  <c r="G216" i="107"/>
  <c r="F216" i="107"/>
  <c r="E216" i="107"/>
  <c r="L211" i="107"/>
  <c r="K211" i="107"/>
  <c r="J211" i="107"/>
  <c r="I211" i="107"/>
  <c r="H211" i="107"/>
  <c r="G211" i="107"/>
  <c r="F211" i="107"/>
  <c r="E211" i="107"/>
  <c r="L206" i="107"/>
  <c r="K206" i="107"/>
  <c r="J206" i="107"/>
  <c r="I206" i="107"/>
  <c r="H206" i="107"/>
  <c r="G206" i="107"/>
  <c r="F206" i="107"/>
  <c r="E206" i="107"/>
  <c r="I156" i="107"/>
  <c r="H156" i="107"/>
  <c r="G156" i="107"/>
  <c r="J152" i="107"/>
  <c r="I152" i="107"/>
  <c r="H152" i="107"/>
  <c r="G152" i="107"/>
  <c r="B141" i="107"/>
  <c r="B212" i="107" s="1"/>
  <c r="B136" i="107"/>
  <c r="B207" i="107" s="1"/>
  <c r="L145" i="107"/>
  <c r="K145" i="107"/>
  <c r="J145" i="107"/>
  <c r="I145" i="107"/>
  <c r="H145" i="107"/>
  <c r="G145" i="107"/>
  <c r="F145" i="107"/>
  <c r="E145" i="107"/>
  <c r="L140" i="107"/>
  <c r="K140" i="107"/>
  <c r="J140" i="107"/>
  <c r="I140" i="107"/>
  <c r="H140" i="107"/>
  <c r="G140" i="107"/>
  <c r="F140" i="107"/>
  <c r="E140" i="107"/>
  <c r="J227" i="105"/>
  <c r="I227" i="105"/>
  <c r="H227" i="105"/>
  <c r="G227" i="105"/>
  <c r="J223" i="105"/>
  <c r="I223" i="105"/>
  <c r="H223" i="105"/>
  <c r="G223" i="105"/>
  <c r="L216" i="105"/>
  <c r="K216" i="105"/>
  <c r="J216" i="105"/>
  <c r="I216" i="105"/>
  <c r="H216" i="105"/>
  <c r="G216" i="105"/>
  <c r="F216" i="105"/>
  <c r="E216" i="105"/>
  <c r="L211" i="105"/>
  <c r="K211" i="105"/>
  <c r="J211" i="105"/>
  <c r="I211" i="105"/>
  <c r="H211" i="105"/>
  <c r="G211" i="105"/>
  <c r="F211" i="105"/>
  <c r="E211" i="105"/>
  <c r="L206" i="105"/>
  <c r="K206" i="105"/>
  <c r="J206" i="105"/>
  <c r="I206" i="105"/>
  <c r="H206" i="105"/>
  <c r="G206" i="105"/>
  <c r="F206" i="105"/>
  <c r="E206" i="105"/>
  <c r="I156" i="105"/>
  <c r="H156" i="105"/>
  <c r="G156" i="105"/>
  <c r="J152" i="105"/>
  <c r="I152" i="105"/>
  <c r="H152" i="105"/>
  <c r="G152" i="105"/>
  <c r="B141" i="105"/>
  <c r="B212" i="105" s="1"/>
  <c r="B136" i="105"/>
  <c r="B207" i="105" s="1"/>
  <c r="L145" i="105"/>
  <c r="K145" i="105"/>
  <c r="J145" i="105"/>
  <c r="I145" i="105"/>
  <c r="H145" i="105"/>
  <c r="G145" i="105"/>
  <c r="F145" i="105"/>
  <c r="E145" i="105"/>
  <c r="L140" i="105"/>
  <c r="K140" i="105"/>
  <c r="J140" i="105"/>
  <c r="I140" i="105"/>
  <c r="H140" i="105"/>
  <c r="G140" i="105"/>
  <c r="F140" i="105"/>
  <c r="E140" i="105"/>
  <c r="J227" i="109"/>
  <c r="I227" i="109"/>
  <c r="H227" i="109"/>
  <c r="G227" i="109"/>
  <c r="J223" i="109"/>
  <c r="I223" i="109"/>
  <c r="H223" i="109"/>
  <c r="G223" i="109"/>
  <c r="L216" i="109"/>
  <c r="K216" i="109"/>
  <c r="J216" i="109"/>
  <c r="I216" i="109"/>
  <c r="H216" i="109"/>
  <c r="G216" i="109"/>
  <c r="F216" i="109"/>
  <c r="E216" i="109"/>
  <c r="L211" i="109"/>
  <c r="K211" i="109"/>
  <c r="J211" i="109"/>
  <c r="I211" i="109"/>
  <c r="H211" i="109"/>
  <c r="G211" i="109"/>
  <c r="F211" i="109"/>
  <c r="E211" i="109"/>
  <c r="L206" i="109"/>
  <c r="K206" i="109"/>
  <c r="J206" i="109"/>
  <c r="I206" i="109"/>
  <c r="H206" i="109"/>
  <c r="G206" i="109"/>
  <c r="F206" i="109"/>
  <c r="E206" i="109"/>
  <c r="I156" i="109"/>
  <c r="H156" i="109"/>
  <c r="G156" i="109"/>
  <c r="J152" i="109"/>
  <c r="I152" i="109"/>
  <c r="H152" i="109"/>
  <c r="G152" i="109"/>
  <c r="B141" i="109"/>
  <c r="B212" i="109" s="1"/>
  <c r="B136" i="109"/>
  <c r="B207" i="109" s="1"/>
  <c r="L145" i="109"/>
  <c r="K145" i="109"/>
  <c r="J145" i="109"/>
  <c r="I145" i="109"/>
  <c r="H145" i="109"/>
  <c r="G145" i="109"/>
  <c r="F145" i="109"/>
  <c r="E145" i="109"/>
  <c r="L140" i="109"/>
  <c r="K140" i="109"/>
  <c r="J140" i="109"/>
  <c r="I140" i="109"/>
  <c r="H140" i="109"/>
  <c r="G140" i="109"/>
  <c r="F140" i="109"/>
  <c r="E140" i="109"/>
  <c r="J227" i="91"/>
  <c r="I227" i="91"/>
  <c r="H227" i="91"/>
  <c r="G227" i="91"/>
  <c r="J223" i="91"/>
  <c r="I223" i="91"/>
  <c r="H223" i="91"/>
  <c r="G223" i="91"/>
  <c r="L216" i="91"/>
  <c r="K216" i="91"/>
  <c r="J216" i="91"/>
  <c r="I216" i="91"/>
  <c r="H216" i="91"/>
  <c r="G216" i="91"/>
  <c r="F216" i="91"/>
  <c r="E216" i="91"/>
  <c r="L211" i="91"/>
  <c r="K211" i="91"/>
  <c r="J211" i="91"/>
  <c r="I211" i="91"/>
  <c r="H211" i="91"/>
  <c r="G211" i="91"/>
  <c r="F211" i="91"/>
  <c r="E211" i="91"/>
  <c r="L206" i="91"/>
  <c r="K206" i="91"/>
  <c r="J206" i="91"/>
  <c r="I206" i="91"/>
  <c r="H206" i="91"/>
  <c r="G206" i="91"/>
  <c r="F206" i="91"/>
  <c r="E206" i="91"/>
  <c r="G156" i="91"/>
  <c r="I156" i="91"/>
  <c r="H156" i="91"/>
  <c r="J152" i="91"/>
  <c r="I152" i="91"/>
  <c r="H152" i="91"/>
  <c r="G152" i="91"/>
  <c r="B141" i="91"/>
  <c r="B212" i="91" s="1"/>
  <c r="B136" i="91"/>
  <c r="B207" i="91" s="1"/>
  <c r="L145" i="91"/>
  <c r="K145" i="91"/>
  <c r="J145" i="91"/>
  <c r="I145" i="91"/>
  <c r="H145" i="91"/>
  <c r="G145" i="91"/>
  <c r="F145" i="91"/>
  <c r="E145" i="91"/>
  <c r="L140" i="91"/>
  <c r="K140" i="91"/>
  <c r="J140" i="91"/>
  <c r="I140" i="91"/>
  <c r="H140" i="91"/>
  <c r="G140" i="91"/>
  <c r="F140" i="91"/>
  <c r="E140" i="91"/>
  <c r="D35" i="111" l="1"/>
  <c r="D45" i="111" s="1"/>
  <c r="B104" i="111"/>
  <c r="B98" i="111"/>
  <c r="B151" i="111" s="1"/>
  <c r="B103" i="111"/>
  <c r="B103" i="110"/>
  <c r="C237" i="110"/>
  <c r="D248" i="110" s="1"/>
  <c r="D35" i="110"/>
  <c r="D45" i="110" s="1"/>
  <c r="B118" i="110"/>
  <c r="B98" i="110"/>
  <c r="B151" i="110" s="1"/>
  <c r="B110" i="111"/>
  <c r="C239" i="111"/>
  <c r="K55" i="110"/>
  <c r="K95" i="110" s="1"/>
  <c r="K166" i="110" s="1"/>
  <c r="B110" i="110"/>
  <c r="B105" i="111"/>
  <c r="B185" i="110"/>
  <c r="B184" i="111"/>
  <c r="B175" i="111"/>
  <c r="B180" i="111"/>
  <c r="B175" i="110"/>
  <c r="C239" i="110"/>
  <c r="B99" i="110"/>
  <c r="B155" i="110" s="1"/>
  <c r="B179" i="111"/>
  <c r="B185" i="111"/>
  <c r="D31" i="110"/>
  <c r="B199" i="110" s="1"/>
  <c r="K55" i="111"/>
  <c r="D33" i="110"/>
  <c r="B171" i="110" s="1"/>
  <c r="B100" i="110"/>
  <c r="B180" i="110"/>
  <c r="C238" i="110"/>
  <c r="B85" i="110"/>
  <c r="B200" i="110"/>
  <c r="D34" i="111"/>
  <c r="D44" i="111" s="1"/>
  <c r="B85" i="111"/>
  <c r="B105" i="110"/>
  <c r="B128" i="111"/>
  <c r="B133" i="111"/>
  <c r="B138" i="111"/>
  <c r="B145" i="111"/>
  <c r="B214" i="111"/>
  <c r="B128" i="110"/>
  <c r="B133" i="110"/>
  <c r="B138" i="110"/>
  <c r="B145" i="110"/>
  <c r="B215" i="110"/>
  <c r="D33" i="111"/>
  <c r="B59" i="111" s="1"/>
  <c r="B123" i="111"/>
  <c r="B129" i="111"/>
  <c r="B134" i="111"/>
  <c r="B139" i="111"/>
  <c r="B210" i="111"/>
  <c r="B215" i="111"/>
  <c r="B104" i="110"/>
  <c r="B129" i="110"/>
  <c r="B134" i="110"/>
  <c r="B139" i="110"/>
  <c r="B190" i="110"/>
  <c r="B210" i="110"/>
  <c r="B124" i="111"/>
  <c r="B130" i="111"/>
  <c r="B135" i="111"/>
  <c r="B140" i="111"/>
  <c r="C237" i="111"/>
  <c r="D249" i="111" s="1"/>
  <c r="B125" i="110"/>
  <c r="B130" i="110"/>
  <c r="B135" i="110"/>
  <c r="B140" i="110"/>
  <c r="C238" i="111"/>
  <c r="H6" i="113"/>
  <c r="H4" i="113"/>
  <c r="H10" i="113"/>
  <c r="H3" i="113"/>
  <c r="O73" i="112"/>
  <c r="O75" i="112" s="1"/>
  <c r="G4" i="113"/>
  <c r="AA169" i="113"/>
  <c r="A169" i="113"/>
  <c r="K198" i="113"/>
  <c r="K200" i="113" s="1"/>
  <c r="C36" i="112"/>
  <c r="C37" i="112" s="1"/>
  <c r="C38" i="112" s="1"/>
  <c r="C39" i="112" s="1"/>
  <c r="C68" i="112"/>
  <c r="S75" i="112"/>
  <c r="G5" i="113"/>
  <c r="L198" i="113"/>
  <c r="L200" i="113" s="1"/>
  <c r="R44" i="112"/>
  <c r="R49" i="112"/>
  <c r="S56" i="112"/>
  <c r="X183" i="113"/>
  <c r="S27" i="112"/>
  <c r="S37" i="112"/>
  <c r="T51" i="112"/>
  <c r="V31" i="112"/>
  <c r="S49" i="112"/>
  <c r="S55" i="112"/>
  <c r="A164" i="113"/>
  <c r="Z184" i="113"/>
  <c r="V185" i="113"/>
  <c r="A187" i="113"/>
  <c r="Z187" i="113"/>
  <c r="Y116" i="113"/>
  <c r="AC118" i="113"/>
  <c r="Y119" i="113"/>
  <c r="AC121" i="113"/>
  <c r="Y122" i="113"/>
  <c r="AC124" i="113"/>
  <c r="Y125" i="113"/>
  <c r="AC127" i="113"/>
  <c r="Y128" i="113"/>
  <c r="AC130" i="113"/>
  <c r="AC133" i="113"/>
  <c r="AC190" i="113"/>
  <c r="Y139" i="113"/>
  <c r="Y142" i="113"/>
  <c r="AC144" i="113"/>
  <c r="Y148" i="113"/>
  <c r="AC150" i="113"/>
  <c r="AC195" i="113"/>
  <c r="I10" i="113"/>
  <c r="I4" i="113"/>
  <c r="I6" i="113"/>
  <c r="G73" i="112"/>
  <c r="G75" i="112" s="1"/>
  <c r="T37" i="112"/>
  <c r="V38" i="112"/>
  <c r="T80" i="112"/>
  <c r="L73" i="112"/>
  <c r="L75" i="112" s="1"/>
  <c r="Y21" i="113"/>
  <c r="AC23" i="113"/>
  <c r="AC26" i="113"/>
  <c r="X35" i="113"/>
  <c r="AB37" i="113"/>
  <c r="X41" i="113"/>
  <c r="X47" i="113"/>
  <c r="X60" i="113"/>
  <c r="X63" i="113"/>
  <c r="X69" i="113"/>
  <c r="V164" i="113"/>
  <c r="V52" i="112"/>
  <c r="I3" i="113"/>
  <c r="S80" i="112"/>
  <c r="U30" i="112"/>
  <c r="S44" i="112"/>
  <c r="T50" i="112"/>
  <c r="H73" i="112"/>
  <c r="H75" i="112" s="1"/>
  <c r="R48" i="112"/>
  <c r="U50" i="112"/>
  <c r="T55" i="112"/>
  <c r="X32" i="113"/>
  <c r="AA164" i="113"/>
  <c r="W34" i="113"/>
  <c r="AA39" i="113"/>
  <c r="W49" i="113"/>
  <c r="W56" i="113"/>
  <c r="AA58" i="113"/>
  <c r="W59" i="113"/>
  <c r="AA64" i="113"/>
  <c r="W65" i="113"/>
  <c r="V173" i="113"/>
  <c r="Z175" i="113"/>
  <c r="W75" i="113"/>
  <c r="W78" i="113"/>
  <c r="AA80" i="113"/>
  <c r="W81" i="113"/>
  <c r="AA83" i="113"/>
  <c r="W84" i="113"/>
  <c r="AA86" i="113"/>
  <c r="AA89" i="113"/>
  <c r="AA92" i="113"/>
  <c r="AA94" i="113"/>
  <c r="AA103" i="113"/>
  <c r="W107" i="113"/>
  <c r="AA184" i="113"/>
  <c r="AA187" i="113"/>
  <c r="Z116" i="113"/>
  <c r="Z125" i="113"/>
  <c r="V129" i="113"/>
  <c r="V132" i="113"/>
  <c r="A191" i="113"/>
  <c r="Z191" i="113"/>
  <c r="V140" i="113"/>
  <c r="V146" i="113"/>
  <c r="V152" i="113"/>
  <c r="Z196" i="113"/>
  <c r="T73" i="112"/>
  <c r="T75" i="112" s="1"/>
  <c r="A172" i="113"/>
  <c r="X53" i="113"/>
  <c r="W170" i="113"/>
  <c r="AB56" i="113"/>
  <c r="AB62" i="113"/>
  <c r="AB65" i="113"/>
  <c r="AB68" i="113"/>
  <c r="AB71" i="113"/>
  <c r="X72" i="113"/>
  <c r="W177" i="113"/>
  <c r="X79" i="113"/>
  <c r="AB93" i="113"/>
  <c r="J6" i="113"/>
  <c r="X166" i="113"/>
  <c r="X44" i="113"/>
  <c r="J2" i="113"/>
  <c r="X76" i="113"/>
  <c r="AB81" i="113"/>
  <c r="AB84" i="113"/>
  <c r="AB87" i="113"/>
  <c r="X88" i="113"/>
  <c r="AB180" i="113"/>
  <c r="AB95" i="113"/>
  <c r="X96" i="113"/>
  <c r="AB101" i="113"/>
  <c r="AB113" i="113"/>
  <c r="AA120" i="113"/>
  <c r="AA123" i="113"/>
  <c r="W133" i="113"/>
  <c r="AA192" i="113"/>
  <c r="W138" i="113"/>
  <c r="AA143" i="113"/>
  <c r="AA149" i="113"/>
  <c r="AA194" i="113"/>
  <c r="N75" i="112"/>
  <c r="T25" i="112"/>
  <c r="S35" i="112"/>
  <c r="S41" i="112"/>
  <c r="W55" i="112"/>
  <c r="V25" i="112"/>
  <c r="R155" i="113"/>
  <c r="Q155" i="113"/>
  <c r="L155" i="113"/>
  <c r="J155" i="113"/>
  <c r="H155" i="113"/>
  <c r="D16" i="113"/>
  <c r="D17" i="113" s="1"/>
  <c r="D18" i="113" s="1"/>
  <c r="D19" i="113" s="1"/>
  <c r="D20" i="113" s="1"/>
  <c r="D21" i="113" s="1"/>
  <c r="D22" i="113" s="1"/>
  <c r="D23" i="113" s="1"/>
  <c r="P154" i="113"/>
  <c r="N154" i="113"/>
  <c r="X185" i="113"/>
  <c r="A185" i="113"/>
  <c r="A189" i="113"/>
  <c r="R28" i="112"/>
  <c r="W14" i="113"/>
  <c r="T28" i="112"/>
  <c r="R38" i="112"/>
  <c r="U31" i="112"/>
  <c r="D35" i="112"/>
  <c r="U27" i="112"/>
  <c r="W18" i="113"/>
  <c r="U52" i="112"/>
  <c r="F5" i="113"/>
  <c r="S46" i="112"/>
  <c r="J198" i="113"/>
  <c r="J200" i="113" s="1"/>
  <c r="W190" i="113"/>
  <c r="A195" i="113"/>
  <c r="Z176" i="113"/>
  <c r="A176" i="113"/>
  <c r="C66" i="112"/>
  <c r="C26" i="112"/>
  <c r="C27" i="112" s="1"/>
  <c r="C28" i="112" s="1"/>
  <c r="C29" i="112" s="1"/>
  <c r="Q73" i="112"/>
  <c r="Q75" i="112" s="1"/>
  <c r="A34" i="113"/>
  <c r="A35" i="113" s="1"/>
  <c r="A36" i="113" s="1"/>
  <c r="A37" i="113" s="1"/>
  <c r="A38" i="113" s="1"/>
  <c r="A39" i="113" s="1"/>
  <c r="A40" i="113" s="1"/>
  <c r="A41" i="113" s="1"/>
  <c r="A42" i="113" s="1"/>
  <c r="A43" i="113" s="1"/>
  <c r="A44" i="113" s="1"/>
  <c r="A45" i="113" s="1"/>
  <c r="A46" i="113" s="1"/>
  <c r="A47" i="113" s="1"/>
  <c r="A48" i="113" s="1"/>
  <c r="A49" i="113" s="1"/>
  <c r="A50" i="113" s="1"/>
  <c r="A51" i="113" s="1"/>
  <c r="A52" i="113" s="1"/>
  <c r="A53" i="113" s="1"/>
  <c r="C31" i="112"/>
  <c r="C32" i="112" s="1"/>
  <c r="C33" i="112" s="1"/>
  <c r="C34" i="112" s="1"/>
  <c r="C67" i="112"/>
  <c r="T27" i="112"/>
  <c r="S31" i="112"/>
  <c r="R32" i="112"/>
  <c r="V37" i="112"/>
  <c r="T56" i="112"/>
  <c r="H154" i="113"/>
  <c r="X14" i="113"/>
  <c r="T154" i="113"/>
  <c r="AB14" i="113"/>
  <c r="A54" i="113"/>
  <c r="A55" i="113" s="1"/>
  <c r="A56" i="113" s="1"/>
  <c r="A57" i="113" s="1"/>
  <c r="A58" i="113" s="1"/>
  <c r="A59" i="113" s="1"/>
  <c r="A60" i="113" s="1"/>
  <c r="A61" i="113" s="1"/>
  <c r="A62" i="113" s="1"/>
  <c r="A63" i="113" s="1"/>
  <c r="A64" i="113" s="1"/>
  <c r="A65" i="113" s="1"/>
  <c r="A66" i="113" s="1"/>
  <c r="A67" i="113" s="1"/>
  <c r="A68" i="113" s="1"/>
  <c r="A69" i="113" s="1"/>
  <c r="A70" i="113" s="1"/>
  <c r="A71" i="113" s="1"/>
  <c r="A72" i="113" s="1"/>
  <c r="A73" i="113" s="1"/>
  <c r="I73" i="112"/>
  <c r="I75" i="112" s="1"/>
  <c r="U73" i="112"/>
  <c r="U75" i="112" s="1"/>
  <c r="W29" i="113"/>
  <c r="AB33" i="113"/>
  <c r="V26" i="112"/>
  <c r="V41" i="112"/>
  <c r="X18" i="113"/>
  <c r="X29" i="113"/>
  <c r="K73" i="112"/>
  <c r="K75" i="112" s="1"/>
  <c r="AA14" i="113"/>
  <c r="Y18" i="113"/>
  <c r="AC20" i="113"/>
  <c r="AB36" i="113"/>
  <c r="AA99" i="113"/>
  <c r="F6" i="113"/>
  <c r="F7" i="113"/>
  <c r="F2" i="113"/>
  <c r="S28" i="112"/>
  <c r="T31" i="112"/>
  <c r="R25" i="112"/>
  <c r="R39" i="112"/>
  <c r="V53" i="112"/>
  <c r="U57" i="112"/>
  <c r="AC14" i="113"/>
  <c r="W22" i="113"/>
  <c r="AC32" i="113"/>
  <c r="AC36" i="113"/>
  <c r="AB39" i="113"/>
  <c r="X56" i="113"/>
  <c r="G198" i="113"/>
  <c r="G200" i="113" s="1"/>
  <c r="Z180" i="113"/>
  <c r="A180" i="113"/>
  <c r="G154" i="113"/>
  <c r="U29" i="112"/>
  <c r="S33" i="112"/>
  <c r="V57" i="112"/>
  <c r="T58" i="112"/>
  <c r="V15" i="113"/>
  <c r="Z17" i="113"/>
  <c r="Y28" i="113"/>
  <c r="AC39" i="113"/>
  <c r="Y59" i="113"/>
  <c r="X71" i="113"/>
  <c r="A74" i="113"/>
  <c r="A75" i="113" s="1"/>
  <c r="A76" i="113" s="1"/>
  <c r="A77" i="113" s="1"/>
  <c r="A78" i="113" s="1"/>
  <c r="A79" i="113" s="1"/>
  <c r="A80" i="113" s="1"/>
  <c r="A81" i="113" s="1"/>
  <c r="A82" i="113" s="1"/>
  <c r="A83" i="113" s="1"/>
  <c r="A84" i="113" s="1"/>
  <c r="A85" i="113" s="1"/>
  <c r="A86" i="113" s="1"/>
  <c r="A87" i="113" s="1"/>
  <c r="A88" i="113" s="1"/>
  <c r="A89" i="113" s="1"/>
  <c r="A90" i="113" s="1"/>
  <c r="A91" i="113" s="1"/>
  <c r="A92" i="113" s="1"/>
  <c r="A93" i="113" s="1"/>
  <c r="B124" i="113"/>
  <c r="B130" i="113" s="1"/>
  <c r="B119" i="113"/>
  <c r="A190" i="113"/>
  <c r="V190" i="113"/>
  <c r="AB128" i="113"/>
  <c r="W130" i="113"/>
  <c r="A134" i="113"/>
  <c r="A135" i="113" s="1"/>
  <c r="A136" i="113" s="1"/>
  <c r="A137" i="113" s="1"/>
  <c r="A138" i="113" s="1"/>
  <c r="A139" i="113" s="1"/>
  <c r="A140" i="113" s="1"/>
  <c r="A141" i="113" s="1"/>
  <c r="A142" i="113" s="1"/>
  <c r="A143" i="113" s="1"/>
  <c r="A144" i="113" s="1"/>
  <c r="A145" i="113" s="1"/>
  <c r="A146" i="113" s="1"/>
  <c r="A147" i="113" s="1"/>
  <c r="A148" i="113" s="1"/>
  <c r="A149" i="113" s="1"/>
  <c r="A150" i="113" s="1"/>
  <c r="A151" i="113" s="1"/>
  <c r="A152" i="113" s="1"/>
  <c r="A153" i="113" s="1"/>
  <c r="X134" i="113"/>
  <c r="Y141" i="113"/>
  <c r="W143" i="113"/>
  <c r="W187" i="113"/>
  <c r="S26" i="112"/>
  <c r="H5" i="113"/>
  <c r="F154" i="113"/>
  <c r="A14" i="113"/>
  <c r="A15" i="113" s="1"/>
  <c r="A16" i="113" s="1"/>
  <c r="A17" i="113" s="1"/>
  <c r="A18" i="113" s="1"/>
  <c r="A19" i="113" s="1"/>
  <c r="A20" i="113" s="1"/>
  <c r="A21" i="113" s="1"/>
  <c r="A22" i="113" s="1"/>
  <c r="A23" i="113" s="1"/>
  <c r="A24" i="113" s="1"/>
  <c r="A25" i="113" s="1"/>
  <c r="A26" i="113" s="1"/>
  <c r="A27" i="113" s="1"/>
  <c r="A28" i="113" s="1"/>
  <c r="A29" i="113" s="1"/>
  <c r="A30" i="113" s="1"/>
  <c r="A31" i="113" s="1"/>
  <c r="A32" i="113" s="1"/>
  <c r="A33" i="113" s="1"/>
  <c r="W24" i="113"/>
  <c r="AA28" i="113"/>
  <c r="V44" i="113"/>
  <c r="Y56" i="113"/>
  <c r="V67" i="113"/>
  <c r="AB107" i="113"/>
  <c r="AC128" i="113"/>
  <c r="X26" i="113"/>
  <c r="AB30" i="113"/>
  <c r="X34" i="113"/>
  <c r="X37" i="113"/>
  <c r="X40" i="113"/>
  <c r="Z43" i="113"/>
  <c r="Z45" i="113"/>
  <c r="Z48" i="113"/>
  <c r="Z50" i="113"/>
  <c r="AC55" i="113"/>
  <c r="V60" i="113"/>
  <c r="X62" i="113"/>
  <c r="Z66" i="113"/>
  <c r="V137" i="113"/>
  <c r="A175" i="113"/>
  <c r="G3" i="113"/>
  <c r="J154" i="113"/>
  <c r="J158" i="113" s="1"/>
  <c r="F198" i="113"/>
  <c r="F200" i="113" s="1"/>
  <c r="P73" i="112"/>
  <c r="P75" i="112" s="1"/>
  <c r="G2" i="113"/>
  <c r="G7" i="113"/>
  <c r="Y26" i="113"/>
  <c r="AC30" i="113"/>
  <c r="Y34" i="113"/>
  <c r="Y37" i="113"/>
  <c r="Y40" i="113"/>
  <c r="AA45" i="113"/>
  <c r="AA50" i="113"/>
  <c r="AA52" i="113"/>
  <c r="W60" i="113"/>
  <c r="Y62" i="113"/>
  <c r="AA66" i="113"/>
  <c r="AB69" i="113"/>
  <c r="AB104" i="113"/>
  <c r="W137" i="113"/>
  <c r="W163" i="113"/>
  <c r="O198" i="113"/>
  <c r="O200" i="113" s="1"/>
  <c r="A166" i="113"/>
  <c r="AB166" i="113"/>
  <c r="H2" i="113"/>
  <c r="X21" i="113"/>
  <c r="Z26" i="113"/>
  <c r="AA42" i="113"/>
  <c r="AB45" i="113"/>
  <c r="AB47" i="113"/>
  <c r="AB50" i="113"/>
  <c r="AB52" i="113"/>
  <c r="Z62" i="113"/>
  <c r="AC69" i="113"/>
  <c r="A94" i="113"/>
  <c r="A95" i="113" s="1"/>
  <c r="A96" i="113" s="1"/>
  <c r="A97" i="113" s="1"/>
  <c r="A98" i="113" s="1"/>
  <c r="A99" i="113" s="1"/>
  <c r="A100" i="113" s="1"/>
  <c r="A101" i="113" s="1"/>
  <c r="A102" i="113" s="1"/>
  <c r="A103" i="113" s="1"/>
  <c r="A104" i="113" s="1"/>
  <c r="A105" i="113" s="1"/>
  <c r="A106" i="113" s="1"/>
  <c r="A107" i="113" s="1"/>
  <c r="A108" i="113" s="1"/>
  <c r="A109" i="113" s="1"/>
  <c r="A110" i="113" s="1"/>
  <c r="A111" i="113" s="1"/>
  <c r="A112" i="113" s="1"/>
  <c r="A113" i="113" s="1"/>
  <c r="AA97" i="113"/>
  <c r="P198" i="113"/>
  <c r="P200" i="113" s="1"/>
  <c r="X163" i="113"/>
  <c r="Y196" i="113"/>
  <c r="A196" i="113"/>
  <c r="I2" i="113"/>
  <c r="G6" i="113"/>
  <c r="I7" i="113"/>
  <c r="Z14" i="113"/>
  <c r="AA145" i="113"/>
  <c r="Q198" i="113"/>
  <c r="Q200" i="113" s="1"/>
  <c r="S198" i="113"/>
  <c r="S200" i="113" s="1"/>
  <c r="Y80" i="113"/>
  <c r="Z90" i="113"/>
  <c r="Y101" i="113"/>
  <c r="AC111" i="113"/>
  <c r="AC116" i="113"/>
  <c r="X118" i="113"/>
  <c r="X142" i="113"/>
  <c r="H198" i="113"/>
  <c r="H200" i="113" s="1"/>
  <c r="X164" i="113"/>
  <c r="AB164" i="113"/>
  <c r="T198" i="113"/>
  <c r="T200" i="113" s="1"/>
  <c r="A184" i="113"/>
  <c r="AA68" i="113"/>
  <c r="Z80" i="113"/>
  <c r="AB83" i="113"/>
  <c r="AA93" i="113"/>
  <c r="AC94" i="113"/>
  <c r="A114" i="113"/>
  <c r="A115" i="113" s="1"/>
  <c r="A116" i="113" s="1"/>
  <c r="A117" i="113" s="1"/>
  <c r="A118" i="113" s="1"/>
  <c r="A119" i="113" s="1"/>
  <c r="A120" i="113" s="1"/>
  <c r="A121" i="113" s="1"/>
  <c r="A122" i="113" s="1"/>
  <c r="A123" i="113" s="1"/>
  <c r="A124" i="113" s="1"/>
  <c r="A125" i="113" s="1"/>
  <c r="A126" i="113" s="1"/>
  <c r="A127" i="113" s="1"/>
  <c r="A128" i="113" s="1"/>
  <c r="A129" i="113" s="1"/>
  <c r="A130" i="113" s="1"/>
  <c r="A131" i="113" s="1"/>
  <c r="A132" i="113" s="1"/>
  <c r="A133" i="113" s="1"/>
  <c r="I198" i="113"/>
  <c r="I200" i="113" s="1"/>
  <c r="Y164" i="113"/>
  <c r="AC164" i="113"/>
  <c r="U198" i="113"/>
  <c r="U200" i="113" s="1"/>
  <c r="A167" i="113"/>
  <c r="AB167" i="113"/>
  <c r="A174" i="113"/>
  <c r="V174" i="113"/>
  <c r="Z174" i="113"/>
  <c r="R198" i="113"/>
  <c r="R200" i="113" s="1"/>
  <c r="Y65" i="113"/>
  <c r="Z76" i="113"/>
  <c r="AC83" i="113"/>
  <c r="AC86" i="113"/>
  <c r="Z100" i="113"/>
  <c r="AA101" i="113"/>
  <c r="V103" i="113"/>
  <c r="AC110" i="113"/>
  <c r="X124" i="113"/>
  <c r="W131" i="113"/>
  <c r="X146" i="113"/>
  <c r="AB147" i="113"/>
  <c r="A179" i="113"/>
  <c r="AC89" i="113"/>
  <c r="AB92" i="113"/>
  <c r="AC93" i="113"/>
  <c r="V96" i="113"/>
  <c r="AA100" i="113"/>
  <c r="AB109" i="113"/>
  <c r="AA118" i="113"/>
  <c r="AC122" i="113"/>
  <c r="V126" i="113"/>
  <c r="AB139" i="113"/>
  <c r="AC169" i="113"/>
  <c r="X70" i="113"/>
  <c r="AB79" i="113"/>
  <c r="W96" i="113"/>
  <c r="Y98" i="113"/>
  <c r="AA108" i="113"/>
  <c r="W112" i="113"/>
  <c r="Z124" i="113"/>
  <c r="Z146" i="113"/>
  <c r="A188" i="113"/>
  <c r="Z101" i="113"/>
  <c r="Y102" i="113"/>
  <c r="V114" i="113"/>
  <c r="Z118" i="113"/>
  <c r="Y124" i="113"/>
  <c r="V130" i="113"/>
  <c r="Z132" i="113"/>
  <c r="AC134" i="113"/>
  <c r="V136" i="113"/>
  <c r="V151" i="113"/>
  <c r="AC167" i="113"/>
  <c r="AA173" i="113"/>
  <c r="A173" i="113"/>
  <c r="AC181" i="113"/>
  <c r="X187" i="113"/>
  <c r="X190" i="113"/>
  <c r="Y193" i="113"/>
  <c r="AA174" i="113"/>
  <c r="V191" i="113"/>
  <c r="AC104" i="113"/>
  <c r="X109" i="113"/>
  <c r="X120" i="113"/>
  <c r="AC123" i="113"/>
  <c r="AA129" i="113"/>
  <c r="Y135" i="113"/>
  <c r="W147" i="113"/>
  <c r="AB151" i="113"/>
  <c r="A170" i="113"/>
  <c r="AC170" i="113"/>
  <c r="AB174" i="113"/>
  <c r="A177" i="113"/>
  <c r="Z177" i="113"/>
  <c r="X194" i="113"/>
  <c r="A197" i="113"/>
  <c r="Z197" i="113"/>
  <c r="W94" i="113"/>
  <c r="Y108" i="113"/>
  <c r="Y112" i="113"/>
  <c r="W119" i="113"/>
  <c r="V125" i="113"/>
  <c r="Z135" i="113"/>
  <c r="AA141" i="113"/>
  <c r="AC152" i="113"/>
  <c r="M198" i="113"/>
  <c r="M200" i="113" s="1"/>
  <c r="AA168" i="113"/>
  <c r="AA177" i="113"/>
  <c r="A186" i="113"/>
  <c r="V186" i="113"/>
  <c r="W192" i="113"/>
  <c r="A192" i="113"/>
  <c r="Y194" i="113"/>
  <c r="AA197" i="113"/>
  <c r="V163" i="113"/>
  <c r="N198" i="113"/>
  <c r="N200" i="113" s="1"/>
  <c r="AB168" i="113"/>
  <c r="AB177" i="113"/>
  <c r="A194" i="113"/>
  <c r="AB197" i="113"/>
  <c r="W120" i="113"/>
  <c r="Y136" i="113"/>
  <c r="Y150" i="113"/>
  <c r="W151" i="113"/>
  <c r="AC174" i="113"/>
  <c r="AC177" i="113"/>
  <c r="W183" i="113"/>
  <c r="Y186" i="113"/>
  <c r="Y190" i="113"/>
  <c r="A193" i="113"/>
  <c r="Z193" i="113"/>
  <c r="AB196" i="113"/>
  <c r="W128" i="113"/>
  <c r="AB143" i="113"/>
  <c r="X165" i="113"/>
  <c r="W169" i="113"/>
  <c r="W172" i="113"/>
  <c r="V175" i="113"/>
  <c r="X178" i="113"/>
  <c r="A182" i="113"/>
  <c r="Z182" i="113"/>
  <c r="AC185" i="113"/>
  <c r="AC192" i="113"/>
  <c r="AC114" i="113"/>
  <c r="Z127" i="113"/>
  <c r="Y165" i="113"/>
  <c r="X169" i="113"/>
  <c r="X172" i="113"/>
  <c r="W175" i="113"/>
  <c r="Y178" i="113"/>
  <c r="A181" i="113"/>
  <c r="AA182" i="113"/>
  <c r="V195" i="113"/>
  <c r="AC126" i="113"/>
  <c r="V141" i="113"/>
  <c r="Y153" i="113"/>
  <c r="A165" i="113"/>
  <c r="Z165" i="113"/>
  <c r="Y168" i="113"/>
  <c r="Y171" i="113"/>
  <c r="X175" i="113"/>
  <c r="Z178" i="113"/>
  <c r="AA181" i="113"/>
  <c r="V188" i="113"/>
  <c r="V194" i="113"/>
  <c r="V112" i="113"/>
  <c r="W124" i="113"/>
  <c r="Y140" i="113"/>
  <c r="AA165" i="113"/>
  <c r="A168" i="113"/>
  <c r="Z168" i="113"/>
  <c r="A171" i="113"/>
  <c r="Z171" i="113"/>
  <c r="Y175" i="113"/>
  <c r="AA178" i="113"/>
  <c r="AB181" i="113"/>
  <c r="V187" i="113"/>
  <c r="W194" i="113"/>
  <c r="Y197" i="113"/>
  <c r="G154" i="111"/>
  <c r="G221" i="111"/>
  <c r="G225" i="111" s="1"/>
  <c r="H154" i="111"/>
  <c r="H221" i="111"/>
  <c r="H225" i="111" s="1"/>
  <c r="I84" i="111"/>
  <c r="I150" i="111"/>
  <c r="J84" i="111"/>
  <c r="J150" i="111"/>
  <c r="B65" i="111"/>
  <c r="B109" i="111"/>
  <c r="B144" i="111"/>
  <c r="B190" i="111"/>
  <c r="B118" i="111"/>
  <c r="B125" i="111"/>
  <c r="B199" i="111"/>
  <c r="G228" i="111"/>
  <c r="I87" i="111"/>
  <c r="B61" i="111"/>
  <c r="B119" i="111"/>
  <c r="B200" i="111"/>
  <c r="H228" i="111"/>
  <c r="B58" i="111"/>
  <c r="B62" i="111"/>
  <c r="B66" i="111"/>
  <c r="B70" i="111"/>
  <c r="B74" i="111"/>
  <c r="B113" i="111"/>
  <c r="B120" i="111"/>
  <c r="B194" i="111"/>
  <c r="I228" i="111"/>
  <c r="J87" i="111"/>
  <c r="B73" i="111"/>
  <c r="B195" i="111"/>
  <c r="H87" i="111"/>
  <c r="B174" i="111"/>
  <c r="B209" i="111"/>
  <c r="B169" i="111"/>
  <c r="B222" i="111" s="1"/>
  <c r="B204" i="111"/>
  <c r="B57" i="111"/>
  <c r="B69" i="111"/>
  <c r="B170" i="111"/>
  <c r="B226" i="111" s="1"/>
  <c r="B81" i="111"/>
  <c r="B108" i="111"/>
  <c r="G154" i="110"/>
  <c r="G221" i="110"/>
  <c r="G225" i="110" s="1"/>
  <c r="H154" i="110"/>
  <c r="H221" i="110"/>
  <c r="H225" i="110" s="1"/>
  <c r="J150" i="110"/>
  <c r="J84" i="110"/>
  <c r="I84" i="110"/>
  <c r="I150" i="110"/>
  <c r="H87" i="110"/>
  <c r="B109" i="110"/>
  <c r="B144" i="110"/>
  <c r="B169" i="110"/>
  <c r="B222" i="110" s="1"/>
  <c r="B204" i="110"/>
  <c r="J46" i="110"/>
  <c r="B65" i="110"/>
  <c r="B69" i="110"/>
  <c r="B124" i="110"/>
  <c r="B170" i="110"/>
  <c r="B226" i="110" s="1"/>
  <c r="B205" i="110"/>
  <c r="B58" i="110"/>
  <c r="B62" i="110"/>
  <c r="B66" i="110"/>
  <c r="B70" i="110"/>
  <c r="B74" i="110"/>
  <c r="H83" i="110"/>
  <c r="B113" i="110"/>
  <c r="B120" i="110"/>
  <c r="B194" i="110"/>
  <c r="I228" i="110"/>
  <c r="J87" i="110"/>
  <c r="B119" i="110"/>
  <c r="J228" i="110"/>
  <c r="B81" i="110"/>
  <c r="B108" i="110"/>
  <c r="L247" i="106"/>
  <c r="K247" i="106"/>
  <c r="J247" i="106"/>
  <c r="I247" i="106"/>
  <c r="H247" i="106"/>
  <c r="G247" i="106"/>
  <c r="F247" i="106"/>
  <c r="E247" i="106"/>
  <c r="L247" i="107"/>
  <c r="K247" i="107"/>
  <c r="J247" i="107"/>
  <c r="I247" i="107"/>
  <c r="H247" i="107"/>
  <c r="G247" i="107"/>
  <c r="F247" i="107"/>
  <c r="E247" i="107"/>
  <c r="L247" i="105"/>
  <c r="K247" i="105"/>
  <c r="J247" i="105"/>
  <c r="I247" i="105"/>
  <c r="H247" i="105"/>
  <c r="G247" i="105"/>
  <c r="F247" i="105"/>
  <c r="E247" i="105"/>
  <c r="L247" i="109"/>
  <c r="K247" i="109"/>
  <c r="J247" i="109"/>
  <c r="I247" i="109"/>
  <c r="H247" i="109"/>
  <c r="G247" i="109"/>
  <c r="D249" i="110" l="1"/>
  <c r="B67" i="110"/>
  <c r="B63" i="110"/>
  <c r="B174" i="110"/>
  <c r="B209" i="110"/>
  <c r="B201" i="110"/>
  <c r="B73" i="110"/>
  <c r="B206" i="111"/>
  <c r="B171" i="111"/>
  <c r="B211" i="110"/>
  <c r="B75" i="111"/>
  <c r="B71" i="111"/>
  <c r="B176" i="110"/>
  <c r="B67" i="111"/>
  <c r="J55" i="110"/>
  <c r="J95" i="110" s="1"/>
  <c r="J166" i="110" s="1"/>
  <c r="B201" i="111"/>
  <c r="B75" i="110"/>
  <c r="B63" i="111"/>
  <c r="D38" i="111"/>
  <c r="D41" i="111" s="1"/>
  <c r="B71" i="110"/>
  <c r="B59" i="110"/>
  <c r="B206" i="110"/>
  <c r="B57" i="110"/>
  <c r="B196" i="111"/>
  <c r="B191" i="111"/>
  <c r="B216" i="111"/>
  <c r="B211" i="111"/>
  <c r="D36" i="111"/>
  <c r="B186" i="111"/>
  <c r="B181" i="111"/>
  <c r="B176" i="111"/>
  <c r="K95" i="111"/>
  <c r="K166" i="111" s="1"/>
  <c r="J55" i="111"/>
  <c r="D248" i="111"/>
  <c r="B189" i="110"/>
  <c r="B184" i="110"/>
  <c r="B214" i="110"/>
  <c r="B179" i="110"/>
  <c r="D34" i="110"/>
  <c r="B61" i="110"/>
  <c r="B196" i="110"/>
  <c r="B191" i="110"/>
  <c r="B216" i="110"/>
  <c r="B186" i="110"/>
  <c r="D36" i="110"/>
  <c r="B181" i="110"/>
  <c r="H158" i="113"/>
  <c r="S155" i="113"/>
  <c r="U154" i="113"/>
  <c r="I154" i="113"/>
  <c r="M155" i="113"/>
  <c r="L154" i="113"/>
  <c r="L158" i="113" s="1"/>
  <c r="K154" i="113"/>
  <c r="Q154" i="113"/>
  <c r="Q158" i="113" s="1"/>
  <c r="R154" i="113"/>
  <c r="R158" i="113" s="1"/>
  <c r="T155" i="113"/>
  <c r="T158" i="113" s="1"/>
  <c r="B120" i="113"/>
  <c r="B125" i="113"/>
  <c r="B131" i="113" s="1"/>
  <c r="F155" i="113"/>
  <c r="F158" i="113" s="1"/>
  <c r="S154" i="113"/>
  <c r="S158" i="113" s="1"/>
  <c r="O154" i="113"/>
  <c r="N155" i="113"/>
  <c r="N158" i="113" s="1"/>
  <c r="I155" i="113"/>
  <c r="D40" i="112"/>
  <c r="O155" i="113"/>
  <c r="U155" i="113"/>
  <c r="P155" i="113"/>
  <c r="P158" i="113" s="1"/>
  <c r="K155" i="113"/>
  <c r="M154" i="113"/>
  <c r="G155" i="113"/>
  <c r="G158" i="113" s="1"/>
  <c r="J154" i="111"/>
  <c r="J221" i="111"/>
  <c r="J225" i="111" s="1"/>
  <c r="I154" i="111"/>
  <c r="I221" i="111"/>
  <c r="I225" i="111" s="1"/>
  <c r="J221" i="110"/>
  <c r="J225" i="110" s="1"/>
  <c r="J154" i="110"/>
  <c r="I221" i="110"/>
  <c r="I225" i="110" s="1"/>
  <c r="I154" i="110"/>
  <c r="F247" i="109"/>
  <c r="E247" i="109"/>
  <c r="F247" i="91"/>
  <c r="G247" i="91"/>
  <c r="H247" i="91"/>
  <c r="I247" i="91"/>
  <c r="J247" i="91"/>
  <c r="K247" i="91"/>
  <c r="L247" i="91"/>
  <c r="I55" i="110" l="1"/>
  <c r="I95" i="110" s="1"/>
  <c r="I166" i="110" s="1"/>
  <c r="D40" i="111"/>
  <c r="D43" i="111" s="1"/>
  <c r="D46" i="111"/>
  <c r="D40" i="110"/>
  <c r="D43" i="110" s="1"/>
  <c r="D46" i="110"/>
  <c r="D38" i="110"/>
  <c r="D41" i="110" s="1"/>
  <c r="D44" i="110"/>
  <c r="J95" i="111"/>
  <c r="J166" i="111" s="1"/>
  <c r="I55" i="111"/>
  <c r="M158" i="113"/>
  <c r="O158" i="113"/>
  <c r="U158" i="113"/>
  <c r="I158" i="113"/>
  <c r="K158" i="113"/>
  <c r="B126" i="113"/>
  <c r="B132" i="113" s="1"/>
  <c r="B121" i="113"/>
  <c r="D45" i="112"/>
  <c r="D50" i="112" s="1"/>
  <c r="D55" i="112" s="1"/>
  <c r="F83" i="112"/>
  <c r="F85" i="112" s="1"/>
  <c r="H86" i="112"/>
  <c r="H88" i="112" s="1"/>
  <c r="N89" i="112"/>
  <c r="N91" i="112" s="1"/>
  <c r="N86" i="112"/>
  <c r="N88" i="112" s="1"/>
  <c r="J86" i="112"/>
  <c r="J88" i="112" s="1"/>
  <c r="L86" i="112"/>
  <c r="L88" i="112" s="1"/>
  <c r="E247" i="91"/>
  <c r="D36" i="90"/>
  <c r="F36" i="90"/>
  <c r="G36" i="90"/>
  <c r="H36" i="90"/>
  <c r="I36" i="90"/>
  <c r="E36" i="90"/>
  <c r="G22" i="109"/>
  <c r="H55" i="110" l="1"/>
  <c r="H95" i="110" s="1"/>
  <c r="H166" i="110" s="1"/>
  <c r="I95" i="111"/>
  <c r="I166" i="111" s="1"/>
  <c r="H55" i="111"/>
  <c r="F86" i="112"/>
  <c r="F88" i="112" s="1"/>
  <c r="P83" i="112"/>
  <c r="P85" i="112" s="1"/>
  <c r="G89" i="112"/>
  <c r="G91" i="112" s="1"/>
  <c r="L83" i="112"/>
  <c r="L85" i="112" s="1"/>
  <c r="M89" i="112"/>
  <c r="M91" i="112" s="1"/>
  <c r="I89" i="112"/>
  <c r="I91" i="112" s="1"/>
  <c r="Q83" i="112"/>
  <c r="Q85" i="112" s="1"/>
  <c r="O83" i="112"/>
  <c r="O85" i="112" s="1"/>
  <c r="L89" i="112"/>
  <c r="L91" i="112" s="1"/>
  <c r="M83" i="112"/>
  <c r="M85" i="112" s="1"/>
  <c r="M86" i="112"/>
  <c r="M88" i="112" s="1"/>
  <c r="H83" i="112"/>
  <c r="H85" i="112" s="1"/>
  <c r="I83" i="112"/>
  <c r="I85" i="112" s="1"/>
  <c r="P89" i="112"/>
  <c r="P91" i="112" s="1"/>
  <c r="N83" i="112"/>
  <c r="N85" i="112" s="1"/>
  <c r="P86" i="112"/>
  <c r="P88" i="112" s="1"/>
  <c r="J89" i="112"/>
  <c r="J91" i="112" s="1"/>
  <c r="K83" i="112"/>
  <c r="K85" i="112" s="1"/>
  <c r="O86" i="112"/>
  <c r="O88" i="112" s="1"/>
  <c r="G86" i="112"/>
  <c r="G88" i="112" s="1"/>
  <c r="J83" i="112"/>
  <c r="J85" i="112" s="1"/>
  <c r="B122" i="113"/>
  <c r="B127" i="113"/>
  <c r="B133" i="113" s="1"/>
  <c r="G83" i="112"/>
  <c r="G85" i="112" s="1"/>
  <c r="O89" i="112"/>
  <c r="O91" i="112" s="1"/>
  <c r="H89" i="112"/>
  <c r="H91" i="112" s="1"/>
  <c r="F89" i="112"/>
  <c r="F91" i="112" s="1"/>
  <c r="I86" i="112"/>
  <c r="I88" i="112" s="1"/>
  <c r="B259" i="109"/>
  <c r="G254" i="109"/>
  <c r="F254" i="109" s="1"/>
  <c r="B251" i="109"/>
  <c r="B249" i="109"/>
  <c r="B245" i="109"/>
  <c r="B242" i="109"/>
  <c r="F239" i="109"/>
  <c r="B237" i="109"/>
  <c r="B248" i="109" s="1"/>
  <c r="F236" i="109"/>
  <c r="B234" i="109"/>
  <c r="B231" i="109"/>
  <c r="B228" i="109"/>
  <c r="B227" i="109"/>
  <c r="B224" i="109"/>
  <c r="B223" i="109"/>
  <c r="B218" i="109"/>
  <c r="L201" i="109"/>
  <c r="K201" i="109"/>
  <c r="J201" i="109"/>
  <c r="I201" i="109"/>
  <c r="H201" i="109"/>
  <c r="G201" i="109"/>
  <c r="F201" i="109"/>
  <c r="E201" i="109"/>
  <c r="L196" i="109"/>
  <c r="K196" i="109"/>
  <c r="J196" i="109"/>
  <c r="I196" i="109"/>
  <c r="H196" i="109"/>
  <c r="G196" i="109"/>
  <c r="F196" i="109"/>
  <c r="E196" i="109"/>
  <c r="L191" i="109"/>
  <c r="K191" i="109"/>
  <c r="J191" i="109"/>
  <c r="I191" i="109"/>
  <c r="H191" i="109"/>
  <c r="G191" i="109"/>
  <c r="F191" i="109"/>
  <c r="E191" i="109"/>
  <c r="L186" i="109"/>
  <c r="K186" i="109"/>
  <c r="J186" i="109"/>
  <c r="I186" i="109"/>
  <c r="H186" i="109"/>
  <c r="G186" i="109"/>
  <c r="F186" i="109"/>
  <c r="E186" i="109"/>
  <c r="L181" i="109"/>
  <c r="K181" i="109"/>
  <c r="J181" i="109"/>
  <c r="I181" i="109"/>
  <c r="H181" i="109"/>
  <c r="G181" i="109"/>
  <c r="F181" i="109"/>
  <c r="E181" i="109"/>
  <c r="L176" i="109"/>
  <c r="K176" i="109"/>
  <c r="J176" i="109"/>
  <c r="I176" i="109"/>
  <c r="H176" i="109"/>
  <c r="G176" i="109"/>
  <c r="F176" i="109"/>
  <c r="E176" i="109"/>
  <c r="L171" i="109"/>
  <c r="K171" i="109"/>
  <c r="J171" i="109"/>
  <c r="I171" i="109"/>
  <c r="H171" i="109"/>
  <c r="G171" i="109"/>
  <c r="F171" i="109"/>
  <c r="E171" i="109"/>
  <c r="B163" i="109"/>
  <c r="B160" i="109"/>
  <c r="J157" i="109"/>
  <c r="I157" i="109"/>
  <c r="H157" i="109"/>
  <c r="G157" i="109"/>
  <c r="B157" i="109"/>
  <c r="B156" i="109"/>
  <c r="J153" i="109"/>
  <c r="I153" i="109"/>
  <c r="H153" i="109"/>
  <c r="G153" i="109"/>
  <c r="B153" i="109"/>
  <c r="B152" i="109"/>
  <c r="B147" i="109"/>
  <c r="L135" i="109"/>
  <c r="K135" i="109"/>
  <c r="J135" i="109"/>
  <c r="I135" i="109"/>
  <c r="H135" i="109"/>
  <c r="G135" i="109"/>
  <c r="F135" i="109"/>
  <c r="E135" i="109"/>
  <c r="B131" i="109"/>
  <c r="B202" i="109" s="1"/>
  <c r="L130" i="109"/>
  <c r="K130" i="109"/>
  <c r="J130" i="109"/>
  <c r="I130" i="109"/>
  <c r="H130" i="109"/>
  <c r="G130" i="109"/>
  <c r="F130" i="109"/>
  <c r="E130" i="109"/>
  <c r="B126" i="109"/>
  <c r="B197" i="109" s="1"/>
  <c r="L125" i="109"/>
  <c r="K125" i="109"/>
  <c r="J125" i="109"/>
  <c r="I125" i="109"/>
  <c r="H125" i="109"/>
  <c r="G125" i="109"/>
  <c r="F125" i="109"/>
  <c r="E125" i="109"/>
  <c r="B121" i="109"/>
  <c r="B192" i="109" s="1"/>
  <c r="L120" i="109"/>
  <c r="K120" i="109"/>
  <c r="J120" i="109"/>
  <c r="I120" i="109"/>
  <c r="H120" i="109"/>
  <c r="G120" i="109"/>
  <c r="F120" i="109"/>
  <c r="E120" i="109"/>
  <c r="B116" i="109"/>
  <c r="B187" i="109" s="1"/>
  <c r="L115" i="109"/>
  <c r="K115" i="109"/>
  <c r="J115" i="109"/>
  <c r="I115" i="109"/>
  <c r="H115" i="109"/>
  <c r="G115" i="109"/>
  <c r="F115" i="109"/>
  <c r="E115" i="109"/>
  <c r="B111" i="109"/>
  <c r="B182" i="109" s="1"/>
  <c r="L110" i="109"/>
  <c r="K110" i="109"/>
  <c r="J110" i="109"/>
  <c r="I110" i="109"/>
  <c r="H110" i="109"/>
  <c r="G110" i="109"/>
  <c r="F110" i="109"/>
  <c r="E110" i="109"/>
  <c r="B106" i="109"/>
  <c r="B177" i="109" s="1"/>
  <c r="L105" i="109"/>
  <c r="K105" i="109"/>
  <c r="J105" i="109"/>
  <c r="I105" i="109"/>
  <c r="H105" i="109"/>
  <c r="G105" i="109"/>
  <c r="F105" i="109"/>
  <c r="E105" i="109"/>
  <c r="B101" i="109"/>
  <c r="B172" i="109" s="1"/>
  <c r="L100" i="109"/>
  <c r="K100" i="109"/>
  <c r="J100" i="109"/>
  <c r="I100" i="109"/>
  <c r="H100" i="109"/>
  <c r="G100" i="109"/>
  <c r="F100" i="109"/>
  <c r="E100" i="109"/>
  <c r="B96" i="109"/>
  <c r="B167" i="109" s="1"/>
  <c r="B93" i="109"/>
  <c r="B90" i="109"/>
  <c r="B87" i="109"/>
  <c r="J86" i="109"/>
  <c r="I86" i="109"/>
  <c r="H86" i="109"/>
  <c r="G86" i="109"/>
  <c r="B86" i="109"/>
  <c r="B83" i="109"/>
  <c r="J82" i="109"/>
  <c r="I82" i="109"/>
  <c r="H82" i="109"/>
  <c r="G82" i="109"/>
  <c r="B82" i="109"/>
  <c r="H80" i="109"/>
  <c r="G80" i="109" s="1"/>
  <c r="B77" i="109"/>
  <c r="L75" i="109"/>
  <c r="K75" i="109"/>
  <c r="J75" i="109"/>
  <c r="I75" i="109"/>
  <c r="H75" i="109"/>
  <c r="G75" i="109"/>
  <c r="F75" i="109"/>
  <c r="E75" i="109"/>
  <c r="P73" i="109"/>
  <c r="O73" i="109"/>
  <c r="B72" i="109" s="1"/>
  <c r="L71" i="109"/>
  <c r="K71" i="109"/>
  <c r="J71" i="109"/>
  <c r="I71" i="109"/>
  <c r="H71" i="109"/>
  <c r="G71" i="109"/>
  <c r="F71" i="109"/>
  <c r="E71" i="109"/>
  <c r="P69" i="109"/>
  <c r="O69" i="109"/>
  <c r="B68" i="109" s="1"/>
  <c r="L67" i="109"/>
  <c r="K67" i="109"/>
  <c r="J67" i="109"/>
  <c r="I67" i="109"/>
  <c r="H67" i="109"/>
  <c r="G67" i="109"/>
  <c r="F67" i="109"/>
  <c r="E67" i="109"/>
  <c r="P65" i="109"/>
  <c r="O65" i="109"/>
  <c r="B64" i="109" s="1"/>
  <c r="L63" i="109"/>
  <c r="K63" i="109"/>
  <c r="J63" i="109"/>
  <c r="I63" i="109"/>
  <c r="H63" i="109"/>
  <c r="G63" i="109"/>
  <c r="F63" i="109"/>
  <c r="E63" i="109"/>
  <c r="P61" i="109"/>
  <c r="O61" i="109"/>
  <c r="B60" i="109" s="1"/>
  <c r="L59" i="109"/>
  <c r="K59" i="109"/>
  <c r="J59" i="109"/>
  <c r="I59" i="109"/>
  <c r="H59" i="109"/>
  <c r="G59" i="109"/>
  <c r="F59" i="109"/>
  <c r="E59" i="109"/>
  <c r="P57" i="109"/>
  <c r="O57" i="109"/>
  <c r="B56" i="109" s="1"/>
  <c r="L55" i="109"/>
  <c r="L95" i="109" s="1"/>
  <c r="L166" i="109" s="1"/>
  <c r="B52" i="109"/>
  <c r="B49" i="109"/>
  <c r="K45" i="109"/>
  <c r="J45" i="109"/>
  <c r="I45" i="109"/>
  <c r="H45" i="109"/>
  <c r="G45" i="109"/>
  <c r="K44" i="109"/>
  <c r="J44" i="109"/>
  <c r="I44" i="109"/>
  <c r="H44" i="109"/>
  <c r="G44" i="109"/>
  <c r="G46" i="109" s="1"/>
  <c r="B44" i="109"/>
  <c r="K43" i="109"/>
  <c r="J43" i="109"/>
  <c r="I43" i="109"/>
  <c r="H43" i="109"/>
  <c r="G43" i="109"/>
  <c r="K40" i="109"/>
  <c r="J40" i="109"/>
  <c r="I40" i="109"/>
  <c r="H40" i="109"/>
  <c r="G40" i="109"/>
  <c r="D39" i="109"/>
  <c r="D42" i="109" s="1"/>
  <c r="B37" i="109"/>
  <c r="K36" i="109"/>
  <c r="J36" i="109"/>
  <c r="I36" i="109"/>
  <c r="H36" i="109"/>
  <c r="G36" i="109"/>
  <c r="P34" i="109"/>
  <c r="O34" i="109"/>
  <c r="B34" i="109" s="1"/>
  <c r="K33" i="109"/>
  <c r="J33" i="109"/>
  <c r="I33" i="109"/>
  <c r="H33" i="109"/>
  <c r="G33" i="109"/>
  <c r="D32" i="109"/>
  <c r="P31" i="109"/>
  <c r="O31" i="109"/>
  <c r="B31" i="109" s="1"/>
  <c r="B30" i="109"/>
  <c r="B29" i="109"/>
  <c r="K28" i="109"/>
  <c r="J28" i="109"/>
  <c r="I28" i="109"/>
  <c r="H28" i="109"/>
  <c r="G28" i="109"/>
  <c r="D28" i="109"/>
  <c r="D27" i="109"/>
  <c r="D26" i="109"/>
  <c r="B26" i="109"/>
  <c r="B25" i="109"/>
  <c r="K24" i="109"/>
  <c r="J80" i="109" s="1"/>
  <c r="J24" i="109"/>
  <c r="I80" i="109" s="1"/>
  <c r="G24" i="109"/>
  <c r="H24" i="109" s="1"/>
  <c r="I24" i="109" s="1"/>
  <c r="B22" i="109"/>
  <c r="B19" i="109"/>
  <c r="B16" i="109"/>
  <c r="B22" i="106"/>
  <c r="G55" i="110" l="1"/>
  <c r="G95" i="110" s="1"/>
  <c r="G166" i="110" s="1"/>
  <c r="H95" i="111"/>
  <c r="H166" i="111" s="1"/>
  <c r="G55" i="111"/>
  <c r="B123" i="113"/>
  <c r="B129" i="113" s="1"/>
  <c r="B128" i="113"/>
  <c r="I83" i="109"/>
  <c r="J83" i="109"/>
  <c r="G228" i="109"/>
  <c r="H224" i="109"/>
  <c r="H46" i="109"/>
  <c r="I228" i="109"/>
  <c r="B200" i="109"/>
  <c r="B205" i="109"/>
  <c r="B215" i="109"/>
  <c r="B210" i="109"/>
  <c r="B115" i="109"/>
  <c r="B145" i="109"/>
  <c r="B140" i="109"/>
  <c r="C237" i="109"/>
  <c r="D249" i="109" s="1"/>
  <c r="B143" i="109"/>
  <c r="B138" i="109"/>
  <c r="C238" i="109"/>
  <c r="B144" i="109"/>
  <c r="B139" i="109"/>
  <c r="I46" i="109"/>
  <c r="J46" i="109"/>
  <c r="J224" i="109"/>
  <c r="B41" i="109"/>
  <c r="H84" i="109"/>
  <c r="B38" i="109"/>
  <c r="K55" i="109"/>
  <c r="K95" i="109" s="1"/>
  <c r="K166" i="109" s="1"/>
  <c r="B185" i="109"/>
  <c r="G87" i="109"/>
  <c r="B110" i="109"/>
  <c r="B123" i="109"/>
  <c r="B124" i="109"/>
  <c r="B130" i="109"/>
  <c r="B103" i="109"/>
  <c r="B105" i="109"/>
  <c r="D35" i="109"/>
  <c r="D45" i="109" s="1"/>
  <c r="B104" i="109"/>
  <c r="B98" i="109"/>
  <c r="B151" i="109" s="1"/>
  <c r="C239" i="109"/>
  <c r="B129" i="109"/>
  <c r="H150" i="109"/>
  <c r="H221" i="109" s="1"/>
  <c r="H225" i="109" s="1"/>
  <c r="B100" i="109"/>
  <c r="I224" i="109"/>
  <c r="D31" i="109"/>
  <c r="B85" i="109"/>
  <c r="B99" i="109"/>
  <c r="B155" i="109" s="1"/>
  <c r="B195" i="109"/>
  <c r="B133" i="109"/>
  <c r="B190" i="109"/>
  <c r="B134" i="109"/>
  <c r="B128" i="109"/>
  <c r="B135" i="109"/>
  <c r="I150" i="109"/>
  <c r="I84" i="109"/>
  <c r="G150" i="109"/>
  <c r="G84" i="109"/>
  <c r="J150" i="109"/>
  <c r="J84" i="109"/>
  <c r="J228" i="109"/>
  <c r="D33" i="109"/>
  <c r="K46" i="109"/>
  <c r="B118" i="109"/>
  <c r="B125" i="109"/>
  <c r="I87" i="109"/>
  <c r="J87" i="109"/>
  <c r="G83" i="109"/>
  <c r="B119" i="109"/>
  <c r="B175" i="109"/>
  <c r="B58" i="109"/>
  <c r="B62" i="109"/>
  <c r="B66" i="109"/>
  <c r="B70" i="109"/>
  <c r="B74" i="109"/>
  <c r="H83" i="109"/>
  <c r="B113" i="109"/>
  <c r="B120" i="109"/>
  <c r="B114" i="109"/>
  <c r="B170" i="109"/>
  <c r="B226" i="109" s="1"/>
  <c r="B180" i="109"/>
  <c r="B108" i="109"/>
  <c r="G224" i="109"/>
  <c r="H87" i="109"/>
  <c r="H228" i="109"/>
  <c r="B109" i="109"/>
  <c r="H10" i="81"/>
  <c r="G42" i="90"/>
  <c r="H42" i="90"/>
  <c r="I42" i="90"/>
  <c r="F55" i="110" l="1"/>
  <c r="F95" i="110" s="1"/>
  <c r="F166" i="110" s="1"/>
  <c r="E55" i="110"/>
  <c r="E95" i="110" s="1"/>
  <c r="E166" i="110" s="1"/>
  <c r="G95" i="111"/>
  <c r="G166" i="111" s="1"/>
  <c r="F55" i="111"/>
  <c r="B184" i="109"/>
  <c r="B209" i="109"/>
  <c r="B214" i="109"/>
  <c r="B204" i="109"/>
  <c r="B206" i="109"/>
  <c r="B211" i="109"/>
  <c r="B216" i="109"/>
  <c r="B179" i="109"/>
  <c r="D248" i="109"/>
  <c r="B65" i="109"/>
  <c r="B81" i="109"/>
  <c r="B61" i="109"/>
  <c r="B57" i="109"/>
  <c r="B169" i="109"/>
  <c r="B222" i="109" s="1"/>
  <c r="B174" i="109"/>
  <c r="J55" i="109"/>
  <c r="I55" i="109" s="1"/>
  <c r="B73" i="109"/>
  <c r="B69" i="109"/>
  <c r="H154" i="109"/>
  <c r="B199" i="109"/>
  <c r="B189" i="109"/>
  <c r="D34" i="109"/>
  <c r="B194" i="109"/>
  <c r="J221" i="109"/>
  <c r="J225" i="109" s="1"/>
  <c r="J154" i="109"/>
  <c r="D36" i="109"/>
  <c r="B171" i="109"/>
  <c r="B75" i="109"/>
  <c r="B71" i="109"/>
  <c r="B67" i="109"/>
  <c r="B63" i="109"/>
  <c r="B59" i="109"/>
  <c r="B176" i="109"/>
  <c r="B191" i="109"/>
  <c r="B181" i="109"/>
  <c r="B186" i="109"/>
  <c r="B196" i="109"/>
  <c r="B201" i="109"/>
  <c r="G221" i="109"/>
  <c r="G225" i="109" s="1"/>
  <c r="G154" i="109"/>
  <c r="I221" i="109"/>
  <c r="I225" i="109" s="1"/>
  <c r="I154" i="109"/>
  <c r="G22" i="107"/>
  <c r="E55" i="111" l="1"/>
  <c r="E95" i="111" s="1"/>
  <c r="E166" i="111" s="1"/>
  <c r="F95" i="111"/>
  <c r="F166" i="111" s="1"/>
  <c r="J95" i="109"/>
  <c r="J166" i="109" s="1"/>
  <c r="D38" i="109"/>
  <c r="D41" i="109" s="1"/>
  <c r="D44" i="109"/>
  <c r="I95" i="109"/>
  <c r="I166" i="109" s="1"/>
  <c r="H55" i="109"/>
  <c r="D40" i="109"/>
  <c r="D43" i="109" s="1"/>
  <c r="D46" i="109"/>
  <c r="H95" i="109" l="1"/>
  <c r="H166" i="109" s="1"/>
  <c r="G55" i="109"/>
  <c r="F55" i="109" l="1"/>
  <c r="G95" i="109"/>
  <c r="G166" i="109" s="1"/>
  <c r="E55" i="109" l="1"/>
  <c r="E95" i="109" s="1"/>
  <c r="E166" i="109" s="1"/>
  <c r="F95" i="109"/>
  <c r="F166" i="109" s="1"/>
  <c r="B259" i="107" l="1"/>
  <c r="G254" i="107"/>
  <c r="F254" i="107" s="1"/>
  <c r="B251" i="107"/>
  <c r="B249" i="107"/>
  <c r="B245" i="107"/>
  <c r="B242" i="107"/>
  <c r="F239" i="107"/>
  <c r="B237" i="107"/>
  <c r="B248" i="107" s="1"/>
  <c r="F236" i="107"/>
  <c r="B234" i="107"/>
  <c r="B231" i="107"/>
  <c r="B228" i="107"/>
  <c r="B227" i="107"/>
  <c r="B224" i="107"/>
  <c r="B223" i="107"/>
  <c r="B218" i="107"/>
  <c r="L201" i="107"/>
  <c r="K201" i="107"/>
  <c r="J201" i="107"/>
  <c r="I201" i="107"/>
  <c r="H201" i="107"/>
  <c r="G201" i="107"/>
  <c r="F201" i="107"/>
  <c r="E201" i="107"/>
  <c r="L196" i="107"/>
  <c r="K196" i="107"/>
  <c r="J196" i="107"/>
  <c r="I196" i="107"/>
  <c r="H196" i="107"/>
  <c r="G196" i="107"/>
  <c r="F196" i="107"/>
  <c r="E196" i="107"/>
  <c r="L191" i="107"/>
  <c r="K191" i="107"/>
  <c r="J191" i="107"/>
  <c r="I191" i="107"/>
  <c r="H191" i="107"/>
  <c r="G191" i="107"/>
  <c r="F191" i="107"/>
  <c r="E191" i="107"/>
  <c r="L186" i="107"/>
  <c r="K186" i="107"/>
  <c r="J186" i="107"/>
  <c r="I186" i="107"/>
  <c r="H186" i="107"/>
  <c r="G186" i="107"/>
  <c r="F186" i="107"/>
  <c r="E186" i="107"/>
  <c r="L181" i="107"/>
  <c r="K181" i="107"/>
  <c r="J181" i="107"/>
  <c r="I181" i="107"/>
  <c r="H181" i="107"/>
  <c r="G181" i="107"/>
  <c r="F181" i="107"/>
  <c r="E181" i="107"/>
  <c r="L176" i="107"/>
  <c r="K176" i="107"/>
  <c r="J176" i="107"/>
  <c r="I176" i="107"/>
  <c r="H176" i="107"/>
  <c r="G176" i="107"/>
  <c r="F176" i="107"/>
  <c r="E176" i="107"/>
  <c r="L171" i="107"/>
  <c r="K171" i="107"/>
  <c r="J171" i="107"/>
  <c r="I171" i="107"/>
  <c r="H171" i="107"/>
  <c r="G171" i="107"/>
  <c r="F171" i="107"/>
  <c r="E171" i="107"/>
  <c r="B163" i="107"/>
  <c r="B160" i="107"/>
  <c r="J157" i="107"/>
  <c r="I157" i="107"/>
  <c r="H157" i="107"/>
  <c r="G157" i="107"/>
  <c r="B157" i="107"/>
  <c r="B156" i="107"/>
  <c r="J153" i="107"/>
  <c r="I153" i="107"/>
  <c r="H153" i="107"/>
  <c r="G153" i="107"/>
  <c r="B153" i="107"/>
  <c r="B152" i="107"/>
  <c r="B147" i="107"/>
  <c r="L135" i="107"/>
  <c r="K135" i="107"/>
  <c r="J135" i="107"/>
  <c r="I135" i="107"/>
  <c r="H135" i="107"/>
  <c r="G135" i="107"/>
  <c r="F135" i="107"/>
  <c r="E135" i="107"/>
  <c r="B131" i="107"/>
  <c r="B202" i="107" s="1"/>
  <c r="L130" i="107"/>
  <c r="K130" i="107"/>
  <c r="J130" i="107"/>
  <c r="I130" i="107"/>
  <c r="H130" i="107"/>
  <c r="G130" i="107"/>
  <c r="F130" i="107"/>
  <c r="E130" i="107"/>
  <c r="B126" i="107"/>
  <c r="B197" i="107" s="1"/>
  <c r="L125" i="107"/>
  <c r="K125" i="107"/>
  <c r="J125" i="107"/>
  <c r="I125" i="107"/>
  <c r="H125" i="107"/>
  <c r="G125" i="107"/>
  <c r="F125" i="107"/>
  <c r="E125" i="107"/>
  <c r="B121" i="107"/>
  <c r="B192" i="107" s="1"/>
  <c r="L120" i="107"/>
  <c r="K120" i="107"/>
  <c r="J120" i="107"/>
  <c r="I120" i="107"/>
  <c r="H120" i="107"/>
  <c r="G120" i="107"/>
  <c r="F120" i="107"/>
  <c r="E120" i="107"/>
  <c r="B116" i="107"/>
  <c r="B187" i="107" s="1"/>
  <c r="L115" i="107"/>
  <c r="K115" i="107"/>
  <c r="J115" i="107"/>
  <c r="I115" i="107"/>
  <c r="H115" i="107"/>
  <c r="G115" i="107"/>
  <c r="F115" i="107"/>
  <c r="E115" i="107"/>
  <c r="B111" i="107"/>
  <c r="B182" i="107" s="1"/>
  <c r="L110" i="107"/>
  <c r="K110" i="107"/>
  <c r="J110" i="107"/>
  <c r="I110" i="107"/>
  <c r="H110" i="107"/>
  <c r="G110" i="107"/>
  <c r="F110" i="107"/>
  <c r="E110" i="107"/>
  <c r="B106" i="107"/>
  <c r="B177" i="107" s="1"/>
  <c r="L105" i="107"/>
  <c r="K105" i="107"/>
  <c r="J105" i="107"/>
  <c r="I105" i="107"/>
  <c r="H105" i="107"/>
  <c r="G105" i="107"/>
  <c r="F105" i="107"/>
  <c r="E105" i="107"/>
  <c r="B101" i="107"/>
  <c r="B172" i="107" s="1"/>
  <c r="L100" i="107"/>
  <c r="K100" i="107"/>
  <c r="J100" i="107"/>
  <c r="I100" i="107"/>
  <c r="H100" i="107"/>
  <c r="G100" i="107"/>
  <c r="F100" i="107"/>
  <c r="E100" i="107"/>
  <c r="B96" i="107"/>
  <c r="B167" i="107" s="1"/>
  <c r="B93" i="107"/>
  <c r="B90" i="107"/>
  <c r="B87" i="107"/>
  <c r="J86" i="107"/>
  <c r="I86" i="107"/>
  <c r="H86" i="107"/>
  <c r="G86" i="107"/>
  <c r="B86" i="107"/>
  <c r="B83" i="107"/>
  <c r="J82" i="107"/>
  <c r="I82" i="107"/>
  <c r="H82" i="107"/>
  <c r="G82" i="107"/>
  <c r="B82" i="107"/>
  <c r="H80" i="107"/>
  <c r="G80" i="107" s="1"/>
  <c r="B77" i="107"/>
  <c r="L75" i="107"/>
  <c r="K75" i="107"/>
  <c r="J75" i="107"/>
  <c r="I75" i="107"/>
  <c r="H75" i="107"/>
  <c r="G75" i="107"/>
  <c r="F75" i="107"/>
  <c r="E75" i="107"/>
  <c r="P73" i="107"/>
  <c r="O73" i="107"/>
  <c r="B72" i="107" s="1"/>
  <c r="L71" i="107"/>
  <c r="K71" i="107"/>
  <c r="J71" i="107"/>
  <c r="I71" i="107"/>
  <c r="H71" i="107"/>
  <c r="G71" i="107"/>
  <c r="F71" i="107"/>
  <c r="E71" i="107"/>
  <c r="P69" i="107"/>
  <c r="O69" i="107"/>
  <c r="B68" i="107" s="1"/>
  <c r="L67" i="107"/>
  <c r="K67" i="107"/>
  <c r="J67" i="107"/>
  <c r="I67" i="107"/>
  <c r="H67" i="107"/>
  <c r="G67" i="107"/>
  <c r="F67" i="107"/>
  <c r="E67" i="107"/>
  <c r="P65" i="107"/>
  <c r="O65" i="107"/>
  <c r="B64" i="107" s="1"/>
  <c r="L63" i="107"/>
  <c r="K63" i="107"/>
  <c r="J63" i="107"/>
  <c r="I63" i="107"/>
  <c r="H63" i="107"/>
  <c r="G63" i="107"/>
  <c r="F63" i="107"/>
  <c r="E63" i="107"/>
  <c r="P61" i="107"/>
  <c r="O61" i="107"/>
  <c r="B60" i="107" s="1"/>
  <c r="L59" i="107"/>
  <c r="K59" i="107"/>
  <c r="J59" i="107"/>
  <c r="I59" i="107"/>
  <c r="H59" i="107"/>
  <c r="G59" i="107"/>
  <c r="F59" i="107"/>
  <c r="E59" i="107"/>
  <c r="P57" i="107"/>
  <c r="O57" i="107"/>
  <c r="B56" i="107" s="1"/>
  <c r="L55" i="107"/>
  <c r="L95" i="107" s="1"/>
  <c r="L166" i="107" s="1"/>
  <c r="B52" i="107"/>
  <c r="B49" i="107"/>
  <c r="K45" i="107"/>
  <c r="J45" i="107"/>
  <c r="I45" i="107"/>
  <c r="H45" i="107"/>
  <c r="G45" i="107"/>
  <c r="K44" i="107"/>
  <c r="J44" i="107"/>
  <c r="I44" i="107"/>
  <c r="H44" i="107"/>
  <c r="G44" i="107"/>
  <c r="G46" i="107" s="1"/>
  <c r="B44" i="107"/>
  <c r="K43" i="107"/>
  <c r="J43" i="107"/>
  <c r="I43" i="107"/>
  <c r="H43" i="107"/>
  <c r="G43" i="107"/>
  <c r="K40" i="107"/>
  <c r="J40" i="107"/>
  <c r="I40" i="107"/>
  <c r="H40" i="107"/>
  <c r="G40" i="107"/>
  <c r="D39" i="107"/>
  <c r="D42" i="107" s="1"/>
  <c r="B37" i="107"/>
  <c r="K36" i="107"/>
  <c r="J36" i="107"/>
  <c r="I36" i="107"/>
  <c r="H36" i="107"/>
  <c r="G36" i="107"/>
  <c r="P34" i="107"/>
  <c r="O34" i="107"/>
  <c r="B34" i="107" s="1"/>
  <c r="K33" i="107"/>
  <c r="J33" i="107"/>
  <c r="I33" i="107"/>
  <c r="H33" i="107"/>
  <c r="G33" i="107"/>
  <c r="D32" i="107"/>
  <c r="P31" i="107"/>
  <c r="O31" i="107"/>
  <c r="B38" i="107" s="1"/>
  <c r="B30" i="107"/>
  <c r="B29" i="107"/>
  <c r="K28" i="107"/>
  <c r="J28" i="107"/>
  <c r="I28" i="107"/>
  <c r="H28" i="107"/>
  <c r="G28" i="107"/>
  <c r="D28" i="107"/>
  <c r="D27" i="107"/>
  <c r="D26" i="107"/>
  <c r="B26" i="107"/>
  <c r="B25" i="107"/>
  <c r="K24" i="107"/>
  <c r="J80" i="107" s="1"/>
  <c r="J24" i="107"/>
  <c r="I80" i="107" s="1"/>
  <c r="G24" i="107"/>
  <c r="H24" i="107" s="1"/>
  <c r="I24" i="107" s="1"/>
  <c r="B22" i="107"/>
  <c r="B19" i="107"/>
  <c r="B16" i="107"/>
  <c r="H46" i="107" l="1"/>
  <c r="G228" i="107"/>
  <c r="H87" i="107"/>
  <c r="I83" i="107"/>
  <c r="J83" i="107"/>
  <c r="H224" i="107"/>
  <c r="B200" i="107"/>
  <c r="B205" i="107"/>
  <c r="B215" i="107"/>
  <c r="B210" i="107"/>
  <c r="C237" i="107"/>
  <c r="D249" i="107" s="1"/>
  <c r="B138" i="107"/>
  <c r="B143" i="107"/>
  <c r="B115" i="107"/>
  <c r="B145" i="107"/>
  <c r="B140" i="107"/>
  <c r="C238" i="107"/>
  <c r="B144" i="107"/>
  <c r="B139" i="107"/>
  <c r="I46" i="107"/>
  <c r="H150" i="107"/>
  <c r="H221" i="107" s="1"/>
  <c r="H225" i="107" s="1"/>
  <c r="H84" i="107"/>
  <c r="K46" i="107"/>
  <c r="J224" i="107"/>
  <c r="G87" i="107"/>
  <c r="H228" i="107"/>
  <c r="B195" i="107"/>
  <c r="K55" i="107"/>
  <c r="K95" i="107" s="1"/>
  <c r="K166" i="107" s="1"/>
  <c r="D35" i="107"/>
  <c r="D45" i="107" s="1"/>
  <c r="B190" i="107"/>
  <c r="B104" i="107"/>
  <c r="B133" i="107"/>
  <c r="B105" i="107"/>
  <c r="B134" i="107"/>
  <c r="B98" i="107"/>
  <c r="B151" i="107" s="1"/>
  <c r="B135" i="107"/>
  <c r="B99" i="107"/>
  <c r="B155" i="107" s="1"/>
  <c r="D33" i="107"/>
  <c r="B100" i="107"/>
  <c r="D31" i="107"/>
  <c r="J150" i="107"/>
  <c r="J84" i="107"/>
  <c r="G150" i="107"/>
  <c r="G84" i="107"/>
  <c r="I150" i="107"/>
  <c r="I84" i="107"/>
  <c r="I87" i="107"/>
  <c r="B129" i="107"/>
  <c r="B185" i="107"/>
  <c r="B31" i="107"/>
  <c r="B103" i="107"/>
  <c r="B110" i="107"/>
  <c r="I224" i="107"/>
  <c r="C239" i="107"/>
  <c r="B123" i="107"/>
  <c r="B130" i="107"/>
  <c r="I228" i="107"/>
  <c r="J87" i="107"/>
  <c r="B128" i="107"/>
  <c r="J46" i="107"/>
  <c r="B124" i="107"/>
  <c r="B180" i="107"/>
  <c r="J228" i="107"/>
  <c r="B118" i="107"/>
  <c r="B125" i="107"/>
  <c r="B41" i="107"/>
  <c r="G83" i="107"/>
  <c r="B119" i="107"/>
  <c r="B175" i="107"/>
  <c r="B58" i="107"/>
  <c r="B62" i="107"/>
  <c r="B66" i="107"/>
  <c r="B70" i="107"/>
  <c r="B74" i="107"/>
  <c r="H83" i="107"/>
  <c r="B113" i="107"/>
  <c r="B120" i="107"/>
  <c r="B114" i="107"/>
  <c r="B170" i="107"/>
  <c r="B226" i="107" s="1"/>
  <c r="B108" i="107"/>
  <c r="G224" i="107"/>
  <c r="B85" i="107"/>
  <c r="B109" i="107"/>
  <c r="D248" i="107" l="1"/>
  <c r="B199" i="107"/>
  <c r="B209" i="107"/>
  <c r="B204" i="107"/>
  <c r="B214" i="107"/>
  <c r="B171" i="107"/>
  <c r="B206" i="107"/>
  <c r="B211" i="107"/>
  <c r="B216" i="107"/>
  <c r="H154" i="107"/>
  <c r="D36" i="107"/>
  <c r="D40" i="107" s="1"/>
  <c r="D43" i="107" s="1"/>
  <c r="J55" i="107"/>
  <c r="J95" i="107" s="1"/>
  <c r="J166" i="107" s="1"/>
  <c r="B57" i="107"/>
  <c r="B67" i="107"/>
  <c r="B63" i="107"/>
  <c r="B196" i="107"/>
  <c r="B59" i="107"/>
  <c r="B176" i="107"/>
  <c r="B71" i="107"/>
  <c r="B169" i="107"/>
  <c r="B222" i="107" s="1"/>
  <c r="B186" i="107"/>
  <c r="B174" i="107"/>
  <c r="B81" i="107"/>
  <c r="D34" i="107"/>
  <c r="D38" i="107" s="1"/>
  <c r="D41" i="107" s="1"/>
  <c r="B189" i="107"/>
  <c r="B201" i="107"/>
  <c r="B184" i="107"/>
  <c r="B181" i="107"/>
  <c r="B194" i="107"/>
  <c r="B75" i="107"/>
  <c r="B61" i="107"/>
  <c r="B191" i="107"/>
  <c r="B179" i="107"/>
  <c r="B73" i="107"/>
  <c r="B69" i="107"/>
  <c r="B65" i="107"/>
  <c r="I221" i="107"/>
  <c r="I225" i="107" s="1"/>
  <c r="I154" i="107"/>
  <c r="G221" i="107"/>
  <c r="G225" i="107" s="1"/>
  <c r="G154" i="107"/>
  <c r="J154" i="107"/>
  <c r="J221" i="107"/>
  <c r="J225" i="107" s="1"/>
  <c r="D46" i="107" l="1"/>
  <c r="I55" i="107"/>
  <c r="I95" i="107" s="1"/>
  <c r="I166" i="107" s="1"/>
  <c r="D44" i="107"/>
  <c r="H55" i="107" l="1"/>
  <c r="H95" i="107" s="1"/>
  <c r="H166" i="107" s="1"/>
  <c r="G55" i="107" l="1"/>
  <c r="F55" i="107" s="1"/>
  <c r="G95" i="107" l="1"/>
  <c r="G166" i="107" s="1"/>
  <c r="E55" i="107"/>
  <c r="E95" i="107" s="1"/>
  <c r="E166" i="107" s="1"/>
  <c r="F95" i="107"/>
  <c r="F166" i="107" s="1"/>
  <c r="B24" i="82" l="1"/>
  <c r="B22" i="82"/>
  <c r="B21" i="82"/>
  <c r="F53" i="90" l="1"/>
  <c r="G53" i="90"/>
  <c r="H53" i="90"/>
  <c r="I53" i="90"/>
  <c r="E53" i="90"/>
  <c r="D49" i="90"/>
  <c r="D44" i="90"/>
  <c r="E39" i="90"/>
  <c r="F37" i="90" l="1"/>
  <c r="G37" i="90"/>
  <c r="H37" i="90"/>
  <c r="I37" i="90"/>
  <c r="E37" i="90"/>
  <c r="G21" i="91" l="1"/>
  <c r="G22" i="105"/>
  <c r="G21" i="106"/>
  <c r="B257" i="106"/>
  <c r="G252" i="106"/>
  <c r="F252" i="106" s="1"/>
  <c r="B250" i="106"/>
  <c r="B249" i="106"/>
  <c r="B245" i="106"/>
  <c r="B242" i="106"/>
  <c r="F239" i="106"/>
  <c r="B237" i="106"/>
  <c r="B248" i="106" s="1"/>
  <c r="F236" i="106"/>
  <c r="B234" i="106"/>
  <c r="B231" i="106"/>
  <c r="B228" i="106"/>
  <c r="B227" i="106"/>
  <c r="B224" i="106"/>
  <c r="B223" i="106"/>
  <c r="B218" i="106"/>
  <c r="L201" i="106"/>
  <c r="K201" i="106"/>
  <c r="J201" i="106"/>
  <c r="I201" i="106"/>
  <c r="H201" i="106"/>
  <c r="G201" i="106"/>
  <c r="F201" i="106"/>
  <c r="E201" i="106"/>
  <c r="L196" i="106"/>
  <c r="K196" i="106"/>
  <c r="J196" i="106"/>
  <c r="I196" i="106"/>
  <c r="H196" i="106"/>
  <c r="G196" i="106"/>
  <c r="F196" i="106"/>
  <c r="E196" i="106"/>
  <c r="L191" i="106"/>
  <c r="K191" i="106"/>
  <c r="J191" i="106"/>
  <c r="I191" i="106"/>
  <c r="H191" i="106"/>
  <c r="G191" i="106"/>
  <c r="F191" i="106"/>
  <c r="E191" i="106"/>
  <c r="L186" i="106"/>
  <c r="K186" i="106"/>
  <c r="J186" i="106"/>
  <c r="I186" i="106"/>
  <c r="H186" i="106"/>
  <c r="G186" i="106"/>
  <c r="F186" i="106"/>
  <c r="E186" i="106"/>
  <c r="L181" i="106"/>
  <c r="K181" i="106"/>
  <c r="J181" i="106"/>
  <c r="I181" i="106"/>
  <c r="H181" i="106"/>
  <c r="G181" i="106"/>
  <c r="F181" i="106"/>
  <c r="E181" i="106"/>
  <c r="L176" i="106"/>
  <c r="K176" i="106"/>
  <c r="J176" i="106"/>
  <c r="I176" i="106"/>
  <c r="H176" i="106"/>
  <c r="G176" i="106"/>
  <c r="F176" i="106"/>
  <c r="E176" i="106"/>
  <c r="L171" i="106"/>
  <c r="K171" i="106"/>
  <c r="J171" i="106"/>
  <c r="I171" i="106"/>
  <c r="H171" i="106"/>
  <c r="G171" i="106"/>
  <c r="F171" i="106"/>
  <c r="E171" i="106"/>
  <c r="B163" i="106"/>
  <c r="B160" i="106"/>
  <c r="J157" i="106"/>
  <c r="I157" i="106"/>
  <c r="H157" i="106"/>
  <c r="G157" i="106"/>
  <c r="B157" i="106"/>
  <c r="B156" i="106"/>
  <c r="J153" i="106"/>
  <c r="I153" i="106"/>
  <c r="H153" i="106"/>
  <c r="G153" i="106"/>
  <c r="B153" i="106"/>
  <c r="B152" i="106"/>
  <c r="B147" i="106"/>
  <c r="L135" i="106"/>
  <c r="K135" i="106"/>
  <c r="J135" i="106"/>
  <c r="I135" i="106"/>
  <c r="H135" i="106"/>
  <c r="G135" i="106"/>
  <c r="F135" i="106"/>
  <c r="E135" i="106"/>
  <c r="B131" i="106"/>
  <c r="B202" i="106" s="1"/>
  <c r="L130" i="106"/>
  <c r="K130" i="106"/>
  <c r="J130" i="106"/>
  <c r="I130" i="106"/>
  <c r="H130" i="106"/>
  <c r="G130" i="106"/>
  <c r="F130" i="106"/>
  <c r="E130" i="106"/>
  <c r="B126" i="106"/>
  <c r="B197" i="106" s="1"/>
  <c r="L125" i="106"/>
  <c r="K125" i="106"/>
  <c r="J125" i="106"/>
  <c r="I125" i="106"/>
  <c r="H125" i="106"/>
  <c r="G125" i="106"/>
  <c r="F125" i="106"/>
  <c r="E125" i="106"/>
  <c r="B121" i="106"/>
  <c r="B192" i="106" s="1"/>
  <c r="L120" i="106"/>
  <c r="K120" i="106"/>
  <c r="J120" i="106"/>
  <c r="I120" i="106"/>
  <c r="H120" i="106"/>
  <c r="G120" i="106"/>
  <c r="F120" i="106"/>
  <c r="E120" i="106"/>
  <c r="B116" i="106"/>
  <c r="B187" i="106" s="1"/>
  <c r="L115" i="106"/>
  <c r="K115" i="106"/>
  <c r="J115" i="106"/>
  <c r="I115" i="106"/>
  <c r="H115" i="106"/>
  <c r="G115" i="106"/>
  <c r="F115" i="106"/>
  <c r="E115" i="106"/>
  <c r="B111" i="106"/>
  <c r="B182" i="106" s="1"/>
  <c r="L110" i="106"/>
  <c r="K110" i="106"/>
  <c r="J110" i="106"/>
  <c r="I110" i="106"/>
  <c r="H110" i="106"/>
  <c r="G110" i="106"/>
  <c r="F110" i="106"/>
  <c r="E110" i="106"/>
  <c r="B106" i="106"/>
  <c r="B177" i="106" s="1"/>
  <c r="L105" i="106"/>
  <c r="K105" i="106"/>
  <c r="J105" i="106"/>
  <c r="I105" i="106"/>
  <c r="H105" i="106"/>
  <c r="G105" i="106"/>
  <c r="F105" i="106"/>
  <c r="E105" i="106"/>
  <c r="B101" i="106"/>
  <c r="B172" i="106" s="1"/>
  <c r="L100" i="106"/>
  <c r="K100" i="106"/>
  <c r="J100" i="106"/>
  <c r="I100" i="106"/>
  <c r="H100" i="106"/>
  <c r="G100" i="106"/>
  <c r="F100" i="106"/>
  <c r="E100" i="106"/>
  <c r="B96" i="106"/>
  <c r="B167" i="106" s="1"/>
  <c r="B93" i="106"/>
  <c r="B90" i="106"/>
  <c r="B87" i="106"/>
  <c r="J86" i="106"/>
  <c r="I86" i="106"/>
  <c r="H86" i="106"/>
  <c r="G86" i="106"/>
  <c r="B86" i="106"/>
  <c r="B83" i="106"/>
  <c r="J82" i="106"/>
  <c r="I82" i="106"/>
  <c r="H82" i="106"/>
  <c r="G82" i="106"/>
  <c r="B82" i="106"/>
  <c r="H80" i="106"/>
  <c r="H150" i="106" s="1"/>
  <c r="B77" i="106"/>
  <c r="L75" i="106"/>
  <c r="K75" i="106"/>
  <c r="J75" i="106"/>
  <c r="I75" i="106"/>
  <c r="H75" i="106"/>
  <c r="G75" i="106"/>
  <c r="F75" i="106"/>
  <c r="E75" i="106"/>
  <c r="P73" i="106"/>
  <c r="O73" i="106"/>
  <c r="B72" i="106" s="1"/>
  <c r="L71" i="106"/>
  <c r="K71" i="106"/>
  <c r="J71" i="106"/>
  <c r="I71" i="106"/>
  <c r="H71" i="106"/>
  <c r="G71" i="106"/>
  <c r="F71" i="106"/>
  <c r="E71" i="106"/>
  <c r="P69" i="106"/>
  <c r="O69" i="106"/>
  <c r="B68" i="106" s="1"/>
  <c r="L67" i="106"/>
  <c r="K67" i="106"/>
  <c r="J67" i="106"/>
  <c r="I67" i="106"/>
  <c r="H67" i="106"/>
  <c r="G67" i="106"/>
  <c r="F67" i="106"/>
  <c r="E67" i="106"/>
  <c r="P65" i="106"/>
  <c r="O65" i="106"/>
  <c r="B64" i="106" s="1"/>
  <c r="L63" i="106"/>
  <c r="K63" i="106"/>
  <c r="J63" i="106"/>
  <c r="I63" i="106"/>
  <c r="H63" i="106"/>
  <c r="G63" i="106"/>
  <c r="F63" i="106"/>
  <c r="E63" i="106"/>
  <c r="P61" i="106"/>
  <c r="O61" i="106"/>
  <c r="B60" i="106" s="1"/>
  <c r="L59" i="106"/>
  <c r="K59" i="106"/>
  <c r="J59" i="106"/>
  <c r="I59" i="106"/>
  <c r="H59" i="106"/>
  <c r="G59" i="106"/>
  <c r="F59" i="106"/>
  <c r="E59" i="106"/>
  <c r="P57" i="106"/>
  <c r="O57" i="106"/>
  <c r="B56" i="106" s="1"/>
  <c r="L55" i="106"/>
  <c r="K55" i="106" s="1"/>
  <c r="B52" i="106"/>
  <c r="B49" i="106"/>
  <c r="K45" i="106"/>
  <c r="J45" i="106"/>
  <c r="I45" i="106"/>
  <c r="H45" i="106"/>
  <c r="G45" i="106"/>
  <c r="K44" i="106"/>
  <c r="J44" i="106"/>
  <c r="I44" i="106"/>
  <c r="H44" i="106"/>
  <c r="G44" i="106"/>
  <c r="G46" i="106" s="1"/>
  <c r="B44" i="106"/>
  <c r="K43" i="106"/>
  <c r="J43" i="106"/>
  <c r="I43" i="106"/>
  <c r="H43" i="106"/>
  <c r="G43" i="106"/>
  <c r="K40" i="106"/>
  <c r="J40" i="106"/>
  <c r="I40" i="106"/>
  <c r="H40" i="106"/>
  <c r="G40" i="106"/>
  <c r="D39" i="106"/>
  <c r="D42" i="106" s="1"/>
  <c r="B37" i="106"/>
  <c r="K36" i="106"/>
  <c r="J36" i="106"/>
  <c r="I36" i="106"/>
  <c r="H36" i="106"/>
  <c r="G36" i="106"/>
  <c r="P34" i="106"/>
  <c r="O34" i="106"/>
  <c r="B41" i="106" s="1"/>
  <c r="K33" i="106"/>
  <c r="J33" i="106"/>
  <c r="I33" i="106"/>
  <c r="H33" i="106"/>
  <c r="G33" i="106"/>
  <c r="D32" i="106"/>
  <c r="P31" i="106"/>
  <c r="O31" i="106"/>
  <c r="B31" i="106" s="1"/>
  <c r="B30" i="106"/>
  <c r="B29" i="106"/>
  <c r="K28" i="106"/>
  <c r="J28" i="106"/>
  <c r="I28" i="106"/>
  <c r="H28" i="106"/>
  <c r="G28" i="106"/>
  <c r="D28" i="106"/>
  <c r="D27" i="106"/>
  <c r="D26" i="106"/>
  <c r="B26" i="106"/>
  <c r="B25" i="106"/>
  <c r="K24" i="106"/>
  <c r="J24" i="106"/>
  <c r="I80" i="106" s="1"/>
  <c r="I150" i="106" s="1"/>
  <c r="G24" i="106"/>
  <c r="H24" i="106" s="1"/>
  <c r="I24" i="106" s="1"/>
  <c r="D39" i="90"/>
  <c r="B21" i="106"/>
  <c r="B18" i="106"/>
  <c r="B16" i="106"/>
  <c r="B259" i="105"/>
  <c r="G254" i="105"/>
  <c r="F254" i="105" s="1"/>
  <c r="B251" i="105"/>
  <c r="B249" i="105"/>
  <c r="B245" i="105"/>
  <c r="B242" i="105"/>
  <c r="F239" i="105"/>
  <c r="B237" i="105"/>
  <c r="B248" i="105" s="1"/>
  <c r="F236" i="105"/>
  <c r="B234" i="105"/>
  <c r="B231" i="105"/>
  <c r="B228" i="105"/>
  <c r="B227" i="105"/>
  <c r="B224" i="105"/>
  <c r="B223" i="105"/>
  <c r="B218" i="105"/>
  <c r="L201" i="105"/>
  <c r="K201" i="105"/>
  <c r="J201" i="105"/>
  <c r="I201" i="105"/>
  <c r="H201" i="105"/>
  <c r="G201" i="105"/>
  <c r="F201" i="105"/>
  <c r="E201" i="105"/>
  <c r="L196" i="105"/>
  <c r="K196" i="105"/>
  <c r="J196" i="105"/>
  <c r="I196" i="105"/>
  <c r="H196" i="105"/>
  <c r="G196" i="105"/>
  <c r="F196" i="105"/>
  <c r="E196" i="105"/>
  <c r="L191" i="105"/>
  <c r="K191" i="105"/>
  <c r="J191" i="105"/>
  <c r="I191" i="105"/>
  <c r="H191" i="105"/>
  <c r="G191" i="105"/>
  <c r="F191" i="105"/>
  <c r="E191" i="105"/>
  <c r="L186" i="105"/>
  <c r="K186" i="105"/>
  <c r="J186" i="105"/>
  <c r="I186" i="105"/>
  <c r="H186" i="105"/>
  <c r="G186" i="105"/>
  <c r="F186" i="105"/>
  <c r="E186" i="105"/>
  <c r="L181" i="105"/>
  <c r="K181" i="105"/>
  <c r="J181" i="105"/>
  <c r="I181" i="105"/>
  <c r="H181" i="105"/>
  <c r="G181" i="105"/>
  <c r="F181" i="105"/>
  <c r="E181" i="105"/>
  <c r="L176" i="105"/>
  <c r="K176" i="105"/>
  <c r="J176" i="105"/>
  <c r="I176" i="105"/>
  <c r="H176" i="105"/>
  <c r="G176" i="105"/>
  <c r="F176" i="105"/>
  <c r="E176" i="105"/>
  <c r="L171" i="105"/>
  <c r="K171" i="105"/>
  <c r="J171" i="105"/>
  <c r="I171" i="105"/>
  <c r="H171" i="105"/>
  <c r="G171" i="105"/>
  <c r="F171" i="105"/>
  <c r="E171" i="105"/>
  <c r="B163" i="105"/>
  <c r="B160" i="105"/>
  <c r="J157" i="105"/>
  <c r="I157" i="105"/>
  <c r="H157" i="105"/>
  <c r="G157" i="105"/>
  <c r="B157" i="105"/>
  <c r="B156" i="105"/>
  <c r="J153" i="105"/>
  <c r="I153" i="105"/>
  <c r="H153" i="105"/>
  <c r="G153" i="105"/>
  <c r="B153" i="105"/>
  <c r="B152" i="105"/>
  <c r="B147" i="105"/>
  <c r="L135" i="105"/>
  <c r="K135" i="105"/>
  <c r="J135" i="105"/>
  <c r="I135" i="105"/>
  <c r="H135" i="105"/>
  <c r="G135" i="105"/>
  <c r="F135" i="105"/>
  <c r="E135" i="105"/>
  <c r="B131" i="105"/>
  <c r="B202" i="105" s="1"/>
  <c r="L130" i="105"/>
  <c r="K130" i="105"/>
  <c r="J130" i="105"/>
  <c r="I130" i="105"/>
  <c r="H130" i="105"/>
  <c r="G130" i="105"/>
  <c r="F130" i="105"/>
  <c r="E130" i="105"/>
  <c r="B126" i="105"/>
  <c r="B197" i="105" s="1"/>
  <c r="L125" i="105"/>
  <c r="K125" i="105"/>
  <c r="J125" i="105"/>
  <c r="I125" i="105"/>
  <c r="H125" i="105"/>
  <c r="G125" i="105"/>
  <c r="F125" i="105"/>
  <c r="E125" i="105"/>
  <c r="B121" i="105"/>
  <c r="B192" i="105" s="1"/>
  <c r="L120" i="105"/>
  <c r="K120" i="105"/>
  <c r="J120" i="105"/>
  <c r="I120" i="105"/>
  <c r="H120" i="105"/>
  <c r="G120" i="105"/>
  <c r="F120" i="105"/>
  <c r="E120" i="105"/>
  <c r="B116" i="105"/>
  <c r="B187" i="105" s="1"/>
  <c r="L115" i="105"/>
  <c r="K115" i="105"/>
  <c r="J115" i="105"/>
  <c r="I115" i="105"/>
  <c r="H115" i="105"/>
  <c r="G115" i="105"/>
  <c r="F115" i="105"/>
  <c r="E115" i="105"/>
  <c r="B111" i="105"/>
  <c r="B182" i="105" s="1"/>
  <c r="L110" i="105"/>
  <c r="K110" i="105"/>
  <c r="J110" i="105"/>
  <c r="I110" i="105"/>
  <c r="H110" i="105"/>
  <c r="G110" i="105"/>
  <c r="F110" i="105"/>
  <c r="E110" i="105"/>
  <c r="B106" i="105"/>
  <c r="B177" i="105" s="1"/>
  <c r="L105" i="105"/>
  <c r="K105" i="105"/>
  <c r="J105" i="105"/>
  <c r="I105" i="105"/>
  <c r="H105" i="105"/>
  <c r="G105" i="105"/>
  <c r="F105" i="105"/>
  <c r="E105" i="105"/>
  <c r="B101" i="105"/>
  <c r="B172" i="105" s="1"/>
  <c r="L100" i="105"/>
  <c r="K100" i="105"/>
  <c r="J100" i="105"/>
  <c r="I100" i="105"/>
  <c r="H100" i="105"/>
  <c r="G100" i="105"/>
  <c r="F100" i="105"/>
  <c r="E100" i="105"/>
  <c r="B96" i="105"/>
  <c r="B167" i="105" s="1"/>
  <c r="B93" i="105"/>
  <c r="B90" i="105"/>
  <c r="B87" i="105"/>
  <c r="J86" i="105"/>
  <c r="I86" i="105"/>
  <c r="H86" i="105"/>
  <c r="G86" i="105"/>
  <c r="B86" i="105"/>
  <c r="B83" i="105"/>
  <c r="J82" i="105"/>
  <c r="I82" i="105"/>
  <c r="H82" i="105"/>
  <c r="G82" i="105"/>
  <c r="B82" i="105"/>
  <c r="H80" i="105"/>
  <c r="H84" i="105" s="1"/>
  <c r="B77" i="105"/>
  <c r="L75" i="105"/>
  <c r="K75" i="105"/>
  <c r="J75" i="105"/>
  <c r="I75" i="105"/>
  <c r="H75" i="105"/>
  <c r="G75" i="105"/>
  <c r="F75" i="105"/>
  <c r="E75" i="105"/>
  <c r="P73" i="105"/>
  <c r="O73" i="105"/>
  <c r="L71" i="105"/>
  <c r="K71" i="105"/>
  <c r="J71" i="105"/>
  <c r="I71" i="105"/>
  <c r="H71" i="105"/>
  <c r="G71" i="105"/>
  <c r="F71" i="105"/>
  <c r="E71" i="105"/>
  <c r="P69" i="105"/>
  <c r="O69" i="105"/>
  <c r="B68" i="105" s="1"/>
  <c r="D192" i="113" s="1"/>
  <c r="L67" i="105"/>
  <c r="K67" i="105"/>
  <c r="J67" i="105"/>
  <c r="I67" i="105"/>
  <c r="H67" i="105"/>
  <c r="G67" i="105"/>
  <c r="F67" i="105"/>
  <c r="E67" i="105"/>
  <c r="P65" i="105"/>
  <c r="O65" i="105"/>
  <c r="B64" i="105" s="1"/>
  <c r="D191" i="113" s="1"/>
  <c r="L63" i="105"/>
  <c r="K63" i="105"/>
  <c r="J63" i="105"/>
  <c r="I63" i="105"/>
  <c r="H63" i="105"/>
  <c r="G63" i="105"/>
  <c r="F63" i="105"/>
  <c r="E63" i="105"/>
  <c r="P61" i="105"/>
  <c r="O61" i="105"/>
  <c r="B60" i="105" s="1"/>
  <c r="D190" i="113" s="1"/>
  <c r="L59" i="105"/>
  <c r="K59" i="105"/>
  <c r="J59" i="105"/>
  <c r="I59" i="105"/>
  <c r="H59" i="105"/>
  <c r="G59" i="105"/>
  <c r="F59" i="105"/>
  <c r="E59" i="105"/>
  <c r="P57" i="105"/>
  <c r="O57" i="105"/>
  <c r="B56" i="105" s="1"/>
  <c r="D189" i="113" s="1"/>
  <c r="L55" i="105"/>
  <c r="K55" i="105" s="1"/>
  <c r="B52" i="105"/>
  <c r="B49" i="105"/>
  <c r="K45" i="105"/>
  <c r="J45" i="105"/>
  <c r="I45" i="105"/>
  <c r="H45" i="105"/>
  <c r="G45" i="105"/>
  <c r="K44" i="105"/>
  <c r="J44" i="105"/>
  <c r="I44" i="105"/>
  <c r="H44" i="105"/>
  <c r="G44" i="105"/>
  <c r="G46" i="105" s="1"/>
  <c r="B44" i="105"/>
  <c r="K43" i="105"/>
  <c r="J43" i="105"/>
  <c r="I43" i="105"/>
  <c r="H43" i="105"/>
  <c r="G43" i="105"/>
  <c r="K40" i="105"/>
  <c r="J40" i="105"/>
  <c r="I40" i="105"/>
  <c r="H40" i="105"/>
  <c r="G40" i="105"/>
  <c r="D39" i="105"/>
  <c r="D42" i="105" s="1"/>
  <c r="B37" i="105"/>
  <c r="K36" i="105"/>
  <c r="J36" i="105"/>
  <c r="I36" i="105"/>
  <c r="H36" i="105"/>
  <c r="G36" i="105"/>
  <c r="P34" i="105"/>
  <c r="O34" i="105"/>
  <c r="B34" i="105" s="1"/>
  <c r="K33" i="105"/>
  <c r="J33" i="105"/>
  <c r="I33" i="105"/>
  <c r="H33" i="105"/>
  <c r="G33" i="105"/>
  <c r="D32" i="105"/>
  <c r="P31" i="105"/>
  <c r="O31" i="105"/>
  <c r="B31" i="105" s="1"/>
  <c r="B30" i="105"/>
  <c r="B29" i="105"/>
  <c r="K28" i="105"/>
  <c r="J28" i="105"/>
  <c r="I28" i="105"/>
  <c r="H28" i="105"/>
  <c r="G28" i="105"/>
  <c r="D28" i="105"/>
  <c r="D27" i="105"/>
  <c r="D26" i="105"/>
  <c r="B26" i="105"/>
  <c r="B25" i="105"/>
  <c r="K24" i="105"/>
  <c r="J80" i="105" s="1"/>
  <c r="J24" i="105"/>
  <c r="I80" i="105" s="1"/>
  <c r="G24" i="105"/>
  <c r="H24" i="105" s="1"/>
  <c r="I24" i="105" s="1"/>
  <c r="B22" i="105"/>
  <c r="B19" i="105"/>
  <c r="B16" i="105"/>
  <c r="J157" i="91"/>
  <c r="I157" i="91"/>
  <c r="J153" i="91"/>
  <c r="I153" i="91"/>
  <c r="J86" i="91"/>
  <c r="I86" i="91"/>
  <c r="J82" i="91"/>
  <c r="I82" i="91"/>
  <c r="I228" i="106" l="1"/>
  <c r="J87" i="106"/>
  <c r="J46" i="106"/>
  <c r="K46" i="106"/>
  <c r="G224" i="106"/>
  <c r="G228" i="106"/>
  <c r="H228" i="106"/>
  <c r="H224" i="106"/>
  <c r="J46" i="105"/>
  <c r="K46" i="105"/>
  <c r="H46" i="105"/>
  <c r="G228" i="105"/>
  <c r="I46" i="105"/>
  <c r="H228" i="105"/>
  <c r="I228" i="105"/>
  <c r="J87" i="105"/>
  <c r="B85" i="106"/>
  <c r="B205" i="106"/>
  <c r="B210" i="106"/>
  <c r="B215" i="106"/>
  <c r="B128" i="106"/>
  <c r="B138" i="106"/>
  <c r="B143" i="106"/>
  <c r="B135" i="106"/>
  <c r="B145" i="106"/>
  <c r="B140" i="106"/>
  <c r="B134" i="106"/>
  <c r="B139" i="106"/>
  <c r="B144" i="106"/>
  <c r="B85" i="105"/>
  <c r="B205" i="105"/>
  <c r="B215" i="105"/>
  <c r="B210" i="105"/>
  <c r="B134" i="105"/>
  <c r="B139" i="105"/>
  <c r="B144" i="105"/>
  <c r="B128" i="105"/>
  <c r="B138" i="105"/>
  <c r="B143" i="105"/>
  <c r="B135" i="105"/>
  <c r="B140" i="105"/>
  <c r="B145" i="105"/>
  <c r="J80" i="106"/>
  <c r="J150" i="106" s="1"/>
  <c r="J221" i="106" s="1"/>
  <c r="J225" i="106" s="1"/>
  <c r="B34" i="106"/>
  <c r="B72" i="105"/>
  <c r="J224" i="105"/>
  <c r="I46" i="106"/>
  <c r="B180" i="106"/>
  <c r="H46" i="106"/>
  <c r="B108" i="106"/>
  <c r="B123" i="106"/>
  <c r="B38" i="106"/>
  <c r="B62" i="106"/>
  <c r="B103" i="106"/>
  <c r="G80" i="106"/>
  <c r="G150" i="106" s="1"/>
  <c r="G221" i="106" s="1"/>
  <c r="G225" i="106" s="1"/>
  <c r="G87" i="106"/>
  <c r="J228" i="106"/>
  <c r="H150" i="105"/>
  <c r="J228" i="105"/>
  <c r="G80" i="105"/>
  <c r="G150" i="105" s="1"/>
  <c r="G154" i="105" s="1"/>
  <c r="H87" i="105"/>
  <c r="D33" i="106"/>
  <c r="D33" i="105"/>
  <c r="B201" i="105" s="1"/>
  <c r="B175" i="106"/>
  <c r="B118" i="105"/>
  <c r="B133" i="105"/>
  <c r="B74" i="106"/>
  <c r="B70" i="106"/>
  <c r="D35" i="106"/>
  <c r="D45" i="106" s="1"/>
  <c r="B66" i="106"/>
  <c r="B118" i="106"/>
  <c r="B200" i="105"/>
  <c r="B185" i="105"/>
  <c r="B170" i="106"/>
  <c r="B226" i="106" s="1"/>
  <c r="C237" i="106"/>
  <c r="B58" i="106"/>
  <c r="B185" i="106"/>
  <c r="B98" i="105"/>
  <c r="B151" i="105" s="1"/>
  <c r="B113" i="106"/>
  <c r="B123" i="105"/>
  <c r="B180" i="105"/>
  <c r="H221" i="106"/>
  <c r="H225" i="106" s="1"/>
  <c r="H154" i="106"/>
  <c r="I221" i="106"/>
  <c r="I225" i="106" s="1"/>
  <c r="I154" i="106"/>
  <c r="J55" i="106"/>
  <c r="K95" i="106"/>
  <c r="K166" i="106" s="1"/>
  <c r="B130" i="106"/>
  <c r="B125" i="106"/>
  <c r="G83" i="106"/>
  <c r="B120" i="106"/>
  <c r="I83" i="106"/>
  <c r="B115" i="106"/>
  <c r="I224" i="106"/>
  <c r="C239" i="106"/>
  <c r="B109" i="106"/>
  <c r="B200" i="106"/>
  <c r="J224" i="106"/>
  <c r="B124" i="106"/>
  <c r="C238" i="106"/>
  <c r="J83" i="106"/>
  <c r="L95" i="106"/>
  <c r="L166" i="106" s="1"/>
  <c r="B110" i="106"/>
  <c r="H83" i="106"/>
  <c r="D31" i="106"/>
  <c r="H84" i="106"/>
  <c r="B104" i="106"/>
  <c r="B195" i="106"/>
  <c r="I84" i="106"/>
  <c r="H87" i="106"/>
  <c r="B98" i="106"/>
  <c r="B151" i="106" s="1"/>
  <c r="B105" i="106"/>
  <c r="B133" i="106"/>
  <c r="B129" i="106"/>
  <c r="B119" i="106"/>
  <c r="B114" i="106"/>
  <c r="I87" i="106"/>
  <c r="B99" i="106"/>
  <c r="B155" i="106" s="1"/>
  <c r="B190" i="106"/>
  <c r="B100" i="106"/>
  <c r="J55" i="105"/>
  <c r="K95" i="105"/>
  <c r="K166" i="105" s="1"/>
  <c r="I150" i="105"/>
  <c r="I84" i="105"/>
  <c r="J150" i="105"/>
  <c r="J84" i="105"/>
  <c r="B129" i="105"/>
  <c r="B124" i="105"/>
  <c r="G83" i="105"/>
  <c r="B119" i="105"/>
  <c r="B175" i="105"/>
  <c r="B125" i="105"/>
  <c r="B58" i="105"/>
  <c r="B62" i="105"/>
  <c r="B66" i="105"/>
  <c r="B70" i="105"/>
  <c r="B74" i="105"/>
  <c r="H83" i="105"/>
  <c r="B113" i="105"/>
  <c r="B120" i="105"/>
  <c r="G224" i="105"/>
  <c r="C237" i="105"/>
  <c r="B41" i="105"/>
  <c r="I83" i="105"/>
  <c r="B114" i="105"/>
  <c r="B170" i="105"/>
  <c r="B226" i="105" s="1"/>
  <c r="H224" i="105"/>
  <c r="C238" i="105"/>
  <c r="B38" i="105"/>
  <c r="J83" i="105"/>
  <c r="B108" i="105"/>
  <c r="B115" i="105"/>
  <c r="I224" i="105"/>
  <c r="C239" i="105"/>
  <c r="B130" i="105"/>
  <c r="L95" i="105"/>
  <c r="L166" i="105" s="1"/>
  <c r="B103" i="105"/>
  <c r="B110" i="105"/>
  <c r="B109" i="105"/>
  <c r="D31" i="105"/>
  <c r="D35" i="105"/>
  <c r="D45" i="105" s="1"/>
  <c r="G87" i="105"/>
  <c r="B104" i="105"/>
  <c r="B195" i="105"/>
  <c r="B105" i="105"/>
  <c r="I87" i="105"/>
  <c r="B99" i="105"/>
  <c r="B155" i="105" s="1"/>
  <c r="B190" i="105"/>
  <c r="B100" i="105"/>
  <c r="H45" i="91"/>
  <c r="I45" i="91"/>
  <c r="J45" i="91"/>
  <c r="K45" i="91"/>
  <c r="G45" i="91"/>
  <c r="H44" i="91"/>
  <c r="I44" i="91"/>
  <c r="J44" i="91"/>
  <c r="K44" i="91"/>
  <c r="G44" i="91"/>
  <c r="D39" i="91"/>
  <c r="D42" i="91" s="1"/>
  <c r="K43" i="91"/>
  <c r="J43" i="91"/>
  <c r="I43" i="91"/>
  <c r="H43" i="91"/>
  <c r="G43" i="91"/>
  <c r="K40" i="91"/>
  <c r="J40" i="91"/>
  <c r="I40" i="91"/>
  <c r="H40" i="91"/>
  <c r="G40" i="91"/>
  <c r="B37" i="91"/>
  <c r="B30" i="91"/>
  <c r="O22" i="86"/>
  <c r="B204" i="106" l="1"/>
  <c r="B209" i="106"/>
  <c r="B214" i="106"/>
  <c r="B191" i="106"/>
  <c r="B206" i="106"/>
  <c r="B211" i="106"/>
  <c r="B216" i="106"/>
  <c r="J84" i="106"/>
  <c r="J154" i="106"/>
  <c r="B191" i="105"/>
  <c r="B211" i="105"/>
  <c r="B206" i="105"/>
  <c r="B216" i="105"/>
  <c r="B204" i="105"/>
  <c r="B209" i="105"/>
  <c r="B214" i="105"/>
  <c r="B63" i="105"/>
  <c r="B67" i="105"/>
  <c r="B59" i="105"/>
  <c r="B196" i="105"/>
  <c r="B186" i="105"/>
  <c r="B181" i="105"/>
  <c r="B171" i="105"/>
  <c r="G221" i="105"/>
  <c r="G225" i="105" s="1"/>
  <c r="G84" i="105"/>
  <c r="B176" i="105"/>
  <c r="G154" i="106"/>
  <c r="B75" i="106"/>
  <c r="G84" i="106"/>
  <c r="B196" i="106"/>
  <c r="B171" i="106"/>
  <c r="B201" i="106"/>
  <c r="B59" i="106"/>
  <c r="B176" i="106"/>
  <c r="D36" i="106"/>
  <c r="D46" i="106" s="1"/>
  <c r="B67" i="106"/>
  <c r="B181" i="106"/>
  <c r="B63" i="106"/>
  <c r="B186" i="106"/>
  <c r="B71" i="106"/>
  <c r="D36" i="105"/>
  <c r="D46" i="105" s="1"/>
  <c r="B71" i="105"/>
  <c r="H221" i="105"/>
  <c r="H225" i="105" s="1"/>
  <c r="H154" i="105"/>
  <c r="B75" i="105"/>
  <c r="J228" i="91"/>
  <c r="J87" i="91"/>
  <c r="J83" i="91"/>
  <c r="J224" i="91"/>
  <c r="I228" i="91"/>
  <c r="I87" i="91"/>
  <c r="I224" i="91"/>
  <c r="I83" i="91"/>
  <c r="D249" i="106"/>
  <c r="D248" i="106"/>
  <c r="I55" i="106"/>
  <c r="J95" i="106"/>
  <c r="J166" i="106" s="1"/>
  <c r="B184" i="106"/>
  <c r="D34" i="106"/>
  <c r="B65" i="106"/>
  <c r="B189" i="106"/>
  <c r="B81" i="106"/>
  <c r="B61" i="106"/>
  <c r="B194" i="106"/>
  <c r="B199" i="106"/>
  <c r="B169" i="106"/>
  <c r="B222" i="106" s="1"/>
  <c r="B174" i="106"/>
  <c r="B73" i="106"/>
  <c r="B69" i="106"/>
  <c r="B57" i="106"/>
  <c r="B179" i="106"/>
  <c r="D249" i="105"/>
  <c r="D248" i="105"/>
  <c r="I221" i="105"/>
  <c r="I225" i="105" s="1"/>
  <c r="I154" i="105"/>
  <c r="J221" i="105"/>
  <c r="J225" i="105" s="1"/>
  <c r="J154" i="105"/>
  <c r="B184" i="105"/>
  <c r="B189" i="105"/>
  <c r="B194" i="105"/>
  <c r="B199" i="105"/>
  <c r="B81" i="105"/>
  <c r="D34" i="105"/>
  <c r="B69" i="105"/>
  <c r="B61" i="105"/>
  <c r="B57" i="105"/>
  <c r="B179" i="105"/>
  <c r="B169" i="105"/>
  <c r="B222" i="105" s="1"/>
  <c r="B73" i="105"/>
  <c r="B174" i="105"/>
  <c r="B65" i="105"/>
  <c r="I55" i="105"/>
  <c r="J95" i="105"/>
  <c r="J166" i="105" s="1"/>
  <c r="P41" i="81"/>
  <c r="P40" i="81"/>
  <c r="O41" i="81"/>
  <c r="O40" i="81"/>
  <c r="B21" i="83"/>
  <c r="B19" i="83"/>
  <c r="B18" i="83"/>
  <c r="B17" i="83"/>
  <c r="O15" i="83"/>
  <c r="J11" i="90"/>
  <c r="D40" i="105" l="1"/>
  <c r="D43" i="105" s="1"/>
  <c r="D40" i="106"/>
  <c r="D43" i="106" s="1"/>
  <c r="D44" i="106"/>
  <c r="D38" i="106"/>
  <c r="D41" i="106" s="1"/>
  <c r="H55" i="106"/>
  <c r="I95" i="106"/>
  <c r="I166" i="106" s="1"/>
  <c r="D38" i="105"/>
  <c r="D41" i="105" s="1"/>
  <c r="D44" i="105"/>
  <c r="H55" i="105"/>
  <c r="I95" i="105"/>
  <c r="I166" i="105" s="1"/>
  <c r="H320" i="83"/>
  <c r="H127" i="83"/>
  <c r="P249" i="83"/>
  <c r="G55" i="106" l="1"/>
  <c r="H95" i="106"/>
  <c r="H166" i="106" s="1"/>
  <c r="G55" i="105"/>
  <c r="H95" i="105"/>
  <c r="H166" i="105" s="1"/>
  <c r="G254" i="91"/>
  <c r="F254" i="91" s="1"/>
  <c r="B251" i="91"/>
  <c r="G28" i="92"/>
  <c r="B228" i="91"/>
  <c r="B227" i="91"/>
  <c r="B224" i="91"/>
  <c r="B223" i="91"/>
  <c r="H157" i="91"/>
  <c r="G157" i="91"/>
  <c r="B157" i="91"/>
  <c r="B156" i="91"/>
  <c r="H153" i="91"/>
  <c r="G153" i="91"/>
  <c r="B153" i="91"/>
  <c r="B152" i="91"/>
  <c r="G95" i="106" l="1"/>
  <c r="G166" i="106" s="1"/>
  <c r="F55" i="106"/>
  <c r="F55" i="105"/>
  <c r="G95" i="105"/>
  <c r="G166" i="105" s="1"/>
  <c r="H86" i="91"/>
  <c r="G86" i="91"/>
  <c r="D72" i="80"/>
  <c r="D71" i="80"/>
  <c r="D70" i="80"/>
  <c r="B87" i="91"/>
  <c r="B86" i="91"/>
  <c r="H82" i="91"/>
  <c r="B83" i="91"/>
  <c r="B82" i="91"/>
  <c r="B96" i="91"/>
  <c r="B167" i="91" s="1"/>
  <c r="G82" i="91"/>
  <c r="P68" i="83"/>
  <c r="D39" i="82"/>
  <c r="B39" i="82"/>
  <c r="B154" i="110" l="1"/>
  <c r="B154" i="111"/>
  <c r="B225" i="110"/>
  <c r="B225" i="111"/>
  <c r="B84" i="110"/>
  <c r="B84" i="111"/>
  <c r="B84" i="109"/>
  <c r="B154" i="109"/>
  <c r="B225" i="109"/>
  <c r="B154" i="107"/>
  <c r="B225" i="107"/>
  <c r="B84" i="107"/>
  <c r="B225" i="106"/>
  <c r="B154" i="105"/>
  <c r="B225" i="105"/>
  <c r="B84" i="106"/>
  <c r="B84" i="105"/>
  <c r="B154" i="106"/>
  <c r="F95" i="106"/>
  <c r="F166" i="106" s="1"/>
  <c r="E55" i="106"/>
  <c r="E95" i="106" s="1"/>
  <c r="E166" i="106" s="1"/>
  <c r="E55" i="105"/>
  <c r="E95" i="105" s="1"/>
  <c r="E166" i="105" s="1"/>
  <c r="F95" i="105"/>
  <c r="F166" i="105" s="1"/>
  <c r="B225" i="91"/>
  <c r="B84" i="91"/>
  <c r="B154" i="91"/>
  <c r="P58" i="86"/>
  <c r="O58" i="86"/>
  <c r="B10" i="81" l="1"/>
  <c r="D12" i="89"/>
  <c r="E12" i="89"/>
  <c r="D12" i="84"/>
  <c r="E12" i="84"/>
  <c r="P83" i="83"/>
  <c r="P181" i="83"/>
  <c r="P291" i="83" l="1"/>
  <c r="P8" i="83"/>
  <c r="O8" i="83" l="1"/>
  <c r="P236" i="83" l="1"/>
  <c r="P223" i="83"/>
  <c r="H36" i="91"/>
  <c r="H33" i="91"/>
  <c r="H28" i="91"/>
  <c r="B43" i="80" l="1"/>
  <c r="B44" i="80" s="1"/>
  <c r="B45" i="80"/>
  <c r="P278" i="83"/>
  <c r="O278" i="83"/>
  <c r="B17" i="90"/>
  <c r="E40" i="81"/>
  <c r="B6" i="82"/>
  <c r="B6" i="81"/>
  <c r="B6" i="109" l="1"/>
  <c r="B6" i="111"/>
  <c r="B6" i="110"/>
  <c r="B6" i="107"/>
  <c r="B6" i="105"/>
  <c r="B6" i="106"/>
  <c r="B46" i="80"/>
  <c r="B6" i="89"/>
  <c r="B6" i="92"/>
  <c r="B6" i="91"/>
  <c r="B6" i="84"/>
  <c r="B6" i="83"/>
  <c r="B6" i="90"/>
  <c r="B6" i="86"/>
  <c r="D59" i="80" l="1"/>
  <c r="D58" i="80"/>
  <c r="P113" i="83"/>
  <c r="O113" i="83"/>
  <c r="O35" i="86"/>
  <c r="B35" i="86" s="1"/>
  <c r="O97" i="83"/>
  <c r="O338" i="83"/>
  <c r="O325" i="83"/>
  <c r="O291" i="83"/>
  <c r="O83" i="83"/>
  <c r="O38" i="81"/>
  <c r="K36" i="91"/>
  <c r="J36" i="91"/>
  <c r="I36" i="91"/>
  <c r="G36" i="91"/>
  <c r="K33" i="91"/>
  <c r="J33" i="91"/>
  <c r="I33" i="91"/>
  <c r="G33" i="91"/>
  <c r="I28" i="91"/>
  <c r="J28" i="91"/>
  <c r="K28" i="91"/>
  <c r="G28" i="91"/>
  <c r="B53" i="89"/>
  <c r="B43" i="89"/>
  <c r="B33" i="89"/>
  <c r="B23" i="89"/>
  <c r="B13" i="89"/>
  <c r="B23" i="84"/>
  <c r="B33" i="84"/>
  <c r="B43" i="84"/>
  <c r="B53" i="84"/>
  <c r="B159" i="83"/>
  <c r="B154" i="83"/>
  <c r="D66" i="80"/>
  <c r="D50" i="80"/>
  <c r="D51" i="80"/>
  <c r="D52" i="80"/>
  <c r="D53" i="80"/>
  <c r="D54" i="80"/>
  <c r="D49" i="80"/>
  <c r="B80" i="110" l="1"/>
  <c r="B221" i="111"/>
  <c r="D255" i="111" s="1"/>
  <c r="B221" i="110"/>
  <c r="D255" i="110" s="1"/>
  <c r="B150" i="110"/>
  <c r="B150" i="111"/>
  <c r="B80" i="111"/>
  <c r="B80" i="109"/>
  <c r="B221" i="109"/>
  <c r="D255" i="109" s="1"/>
  <c r="B150" i="109"/>
  <c r="B221" i="107"/>
  <c r="D255" i="107" s="1"/>
  <c r="B150" i="107"/>
  <c r="B80" i="107"/>
  <c r="B150" i="105"/>
  <c r="B221" i="106"/>
  <c r="D253" i="106" s="1"/>
  <c r="B80" i="106"/>
  <c r="B80" i="105"/>
  <c r="B221" i="105"/>
  <c r="D255" i="105" s="1"/>
  <c r="B150" i="106"/>
  <c r="B221" i="91"/>
  <c r="D255" i="91" s="1"/>
  <c r="B150" i="91"/>
  <c r="B80" i="91"/>
  <c r="D33" i="82" l="1"/>
  <c r="H228" i="91"/>
  <c r="G228" i="91"/>
  <c r="B44" i="91"/>
  <c r="D32" i="91"/>
  <c r="D27" i="91"/>
  <c r="B28" i="90"/>
  <c r="B9" i="90"/>
  <c r="B8" i="90"/>
  <c r="D37" i="90"/>
  <c r="D35" i="90"/>
  <c r="B210" i="91" l="1"/>
  <c r="B205" i="91"/>
  <c r="B215" i="91"/>
  <c r="B124" i="91"/>
  <c r="B139" i="91"/>
  <c r="B144" i="91"/>
  <c r="H83" i="91"/>
  <c r="H224" i="91"/>
  <c r="G83" i="91"/>
  <c r="G224" i="91"/>
  <c r="G87" i="91"/>
  <c r="H87" i="91"/>
  <c r="D30" i="92"/>
  <c r="B85" i="91"/>
  <c r="J46" i="91"/>
  <c r="H46" i="91"/>
  <c r="I46" i="91"/>
  <c r="G46" i="91"/>
  <c r="K46" i="91"/>
  <c r="B66" i="91"/>
  <c r="B70" i="91"/>
  <c r="B175" i="91"/>
  <c r="B180" i="91"/>
  <c r="B195" i="91"/>
  <c r="B99" i="91"/>
  <c r="B155" i="91" s="1"/>
  <c r="B74" i="91"/>
  <c r="B104" i="91"/>
  <c r="B185" i="91"/>
  <c r="B114" i="91"/>
  <c r="B62" i="91"/>
  <c r="B129" i="91"/>
  <c r="B170" i="91"/>
  <c r="B226" i="91" s="1"/>
  <c r="B119" i="91"/>
  <c r="B200" i="91"/>
  <c r="C238" i="91"/>
  <c r="B134" i="91"/>
  <c r="B109" i="91"/>
  <c r="B190" i="91"/>
  <c r="B58" i="91"/>
  <c r="D35" i="91"/>
  <c r="D45" i="91" s="1"/>
  <c r="B8" i="89"/>
  <c r="B19" i="92"/>
  <c r="B10" i="91"/>
  <c r="B231" i="91"/>
  <c r="B18" i="91"/>
  <c r="B49" i="91"/>
  <c r="B90" i="91"/>
  <c r="B160" i="91"/>
  <c r="B131" i="91"/>
  <c r="B202" i="91" s="1"/>
  <c r="B126" i="91"/>
  <c r="B121" i="91"/>
  <c r="B111" i="91"/>
  <c r="B182" i="91" s="1"/>
  <c r="B106" i="91"/>
  <c r="B177" i="91" s="1"/>
  <c r="B101" i="91"/>
  <c r="B172" i="91" s="1"/>
  <c r="H80" i="91"/>
  <c r="H84" i="91" s="1"/>
  <c r="D67" i="80"/>
  <c r="D68" i="80"/>
  <c r="B2" i="86"/>
  <c r="D62" i="80"/>
  <c r="D63" i="80"/>
  <c r="D64" i="80"/>
  <c r="D61" i="80"/>
  <c r="B350" i="83"/>
  <c r="B262" i="83"/>
  <c r="B144" i="83"/>
  <c r="B80" i="83"/>
  <c r="B12" i="83"/>
  <c r="B4" i="82"/>
  <c r="B107" i="81"/>
  <c r="B89" i="81"/>
  <c r="B67" i="81"/>
  <c r="B61" i="81"/>
  <c r="B2" i="109" l="1"/>
  <c r="B2" i="110"/>
  <c r="B2" i="111"/>
  <c r="J226" i="111"/>
  <c r="G155" i="111"/>
  <c r="J151" i="111"/>
  <c r="I226" i="110"/>
  <c r="J222" i="110"/>
  <c r="I151" i="110"/>
  <c r="I226" i="111"/>
  <c r="H222" i="111"/>
  <c r="I151" i="111"/>
  <c r="I222" i="110"/>
  <c r="H151" i="110"/>
  <c r="F255" i="110"/>
  <c r="G222" i="111"/>
  <c r="H151" i="111"/>
  <c r="G222" i="110"/>
  <c r="G151" i="110"/>
  <c r="G151" i="111"/>
  <c r="J81" i="111"/>
  <c r="F255" i="111"/>
  <c r="H81" i="111"/>
  <c r="J81" i="110"/>
  <c r="H155" i="110"/>
  <c r="J226" i="110"/>
  <c r="G85" i="110"/>
  <c r="J155" i="110"/>
  <c r="I81" i="110"/>
  <c r="G81" i="110"/>
  <c r="H155" i="111"/>
  <c r="J151" i="110"/>
  <c r="G255" i="110"/>
  <c r="G255" i="111"/>
  <c r="I81" i="111"/>
  <c r="J155" i="111"/>
  <c r="I155" i="110"/>
  <c r="H81" i="110"/>
  <c r="I155" i="111"/>
  <c r="G155" i="110"/>
  <c r="G85" i="111"/>
  <c r="H226" i="111"/>
  <c r="J85" i="111"/>
  <c r="I85" i="110"/>
  <c r="I222" i="111"/>
  <c r="G226" i="110"/>
  <c r="J222" i="111"/>
  <c r="H226" i="110"/>
  <c r="H85" i="110"/>
  <c r="G81" i="111"/>
  <c r="G226" i="111"/>
  <c r="H85" i="111"/>
  <c r="I85" i="111"/>
  <c r="J85" i="110"/>
  <c r="H222" i="110"/>
  <c r="B4" i="109"/>
  <c r="B4" i="111"/>
  <c r="B4" i="110"/>
  <c r="I151" i="106"/>
  <c r="I151" i="107"/>
  <c r="J155" i="105"/>
  <c r="H151" i="91"/>
  <c r="H151" i="106"/>
  <c r="H151" i="107"/>
  <c r="I155" i="105"/>
  <c r="G151" i="91"/>
  <c r="G151" i="109"/>
  <c r="J151" i="91"/>
  <c r="I155" i="107"/>
  <c r="H155" i="109"/>
  <c r="G151" i="106"/>
  <c r="G151" i="107"/>
  <c r="H155" i="105"/>
  <c r="J155" i="91"/>
  <c r="H151" i="109"/>
  <c r="H155" i="106"/>
  <c r="G155" i="106"/>
  <c r="J151" i="105"/>
  <c r="J155" i="109"/>
  <c r="G155" i="105"/>
  <c r="J151" i="109"/>
  <c r="I155" i="91"/>
  <c r="J155" i="106"/>
  <c r="G155" i="91"/>
  <c r="G155" i="107"/>
  <c r="H151" i="105"/>
  <c r="G151" i="105"/>
  <c r="G155" i="109"/>
  <c r="J151" i="106"/>
  <c r="I151" i="91"/>
  <c r="I151" i="109"/>
  <c r="H155" i="91"/>
  <c r="J155" i="107"/>
  <c r="I155" i="106"/>
  <c r="H155" i="107"/>
  <c r="I151" i="105"/>
  <c r="I155" i="109"/>
  <c r="J151" i="107"/>
  <c r="H226" i="109"/>
  <c r="I222" i="109"/>
  <c r="J226" i="109"/>
  <c r="J222" i="109"/>
  <c r="G226" i="109"/>
  <c r="G222" i="109"/>
  <c r="H222" i="109"/>
  <c r="I226" i="109"/>
  <c r="J226" i="107"/>
  <c r="G222" i="107"/>
  <c r="I226" i="107"/>
  <c r="H222" i="107"/>
  <c r="I222" i="107"/>
  <c r="J222" i="107"/>
  <c r="G226" i="107"/>
  <c r="H226" i="107"/>
  <c r="G222" i="105"/>
  <c r="I226" i="106"/>
  <c r="H222" i="106"/>
  <c r="I226" i="105"/>
  <c r="H226" i="105"/>
  <c r="J226" i="106"/>
  <c r="I222" i="105"/>
  <c r="J226" i="105"/>
  <c r="H222" i="105"/>
  <c r="I222" i="106"/>
  <c r="J222" i="105"/>
  <c r="J222" i="106"/>
  <c r="H226" i="106"/>
  <c r="G222" i="106"/>
  <c r="G226" i="105"/>
  <c r="G226" i="106"/>
  <c r="G222" i="91"/>
  <c r="H222" i="91"/>
  <c r="I222" i="91"/>
  <c r="H226" i="91"/>
  <c r="G226" i="91"/>
  <c r="J222" i="91"/>
  <c r="I226" i="91"/>
  <c r="J226" i="91"/>
  <c r="G255" i="105"/>
  <c r="G255" i="107"/>
  <c r="F255" i="105"/>
  <c r="F255" i="107"/>
  <c r="G255" i="109"/>
  <c r="F255" i="109"/>
  <c r="F255" i="91"/>
  <c r="G255" i="91"/>
  <c r="G253" i="106"/>
  <c r="F253" i="106"/>
  <c r="J81" i="109"/>
  <c r="I81" i="109"/>
  <c r="H81" i="109"/>
  <c r="G85" i="109"/>
  <c r="H85" i="109"/>
  <c r="I85" i="109"/>
  <c r="G81" i="109"/>
  <c r="J85" i="109"/>
  <c r="B2" i="107"/>
  <c r="J81" i="107"/>
  <c r="G85" i="107"/>
  <c r="I81" i="107"/>
  <c r="H85" i="107"/>
  <c r="G81" i="107"/>
  <c r="I85" i="107"/>
  <c r="J85" i="107"/>
  <c r="H81" i="107"/>
  <c r="B4" i="107"/>
  <c r="I85" i="91"/>
  <c r="J85" i="106"/>
  <c r="J85" i="91"/>
  <c r="J81" i="91"/>
  <c r="I85" i="106"/>
  <c r="H85" i="106"/>
  <c r="I85" i="105"/>
  <c r="G85" i="106"/>
  <c r="H85" i="105"/>
  <c r="G85" i="105"/>
  <c r="I81" i="91"/>
  <c r="J81" i="105"/>
  <c r="G81" i="105"/>
  <c r="I81" i="106"/>
  <c r="G81" i="106"/>
  <c r="J81" i="106"/>
  <c r="I81" i="105"/>
  <c r="H81" i="105"/>
  <c r="H81" i="106"/>
  <c r="J85" i="105"/>
  <c r="B2" i="106"/>
  <c r="B2" i="105"/>
  <c r="B4" i="106"/>
  <c r="B4" i="105"/>
  <c r="G43" i="92"/>
  <c r="G85" i="91"/>
  <c r="H81" i="91"/>
  <c r="G81" i="91"/>
  <c r="H85" i="91"/>
  <c r="H150" i="91"/>
  <c r="H154" i="91" s="1"/>
  <c r="G80" i="91"/>
  <c r="B2" i="92"/>
  <c r="B2" i="89"/>
  <c r="B2" i="91"/>
  <c r="B36" i="81"/>
  <c r="C28" i="81"/>
  <c r="B24" i="81"/>
  <c r="B5" i="81"/>
  <c r="C8" i="80"/>
  <c r="C6" i="80"/>
  <c r="C2" i="80"/>
  <c r="B126" i="86"/>
  <c r="B381" i="83"/>
  <c r="P15" i="83" l="1"/>
  <c r="B15" i="83" s="1"/>
  <c r="P22" i="86"/>
  <c r="G150" i="91"/>
  <c r="G154" i="91" s="1"/>
  <c r="G84" i="91"/>
  <c r="P38" i="81"/>
  <c r="H104" i="81"/>
  <c r="B43" i="81" l="1"/>
  <c r="F236" i="91" l="1"/>
  <c r="L135" i="91"/>
  <c r="K135" i="91"/>
  <c r="J135" i="91"/>
  <c r="I135" i="91"/>
  <c r="H135" i="91"/>
  <c r="G135" i="91"/>
  <c r="F135" i="91"/>
  <c r="E135" i="91"/>
  <c r="L130" i="91"/>
  <c r="K130" i="91"/>
  <c r="J130" i="91"/>
  <c r="I130" i="91"/>
  <c r="H130" i="91"/>
  <c r="G130" i="91"/>
  <c r="F130" i="91"/>
  <c r="E130" i="91"/>
  <c r="L125" i="91"/>
  <c r="K125" i="91"/>
  <c r="J125" i="91"/>
  <c r="I125" i="91"/>
  <c r="H125" i="91"/>
  <c r="G125" i="91"/>
  <c r="F125" i="91"/>
  <c r="E125" i="91"/>
  <c r="L120" i="91"/>
  <c r="K120" i="91"/>
  <c r="J120" i="91"/>
  <c r="I120" i="91"/>
  <c r="H120" i="91"/>
  <c r="G120" i="91"/>
  <c r="F120" i="91"/>
  <c r="E120" i="91"/>
  <c r="L115" i="91"/>
  <c r="K115" i="91"/>
  <c r="J115" i="91"/>
  <c r="I115" i="91"/>
  <c r="H115" i="91"/>
  <c r="G115" i="91"/>
  <c r="F115" i="91"/>
  <c r="E115" i="91"/>
  <c r="L110" i="91"/>
  <c r="K110" i="91"/>
  <c r="J110" i="91"/>
  <c r="I110" i="91"/>
  <c r="H110" i="91"/>
  <c r="G110" i="91"/>
  <c r="F110" i="91"/>
  <c r="E110" i="91"/>
  <c r="L105" i="91"/>
  <c r="K105" i="91"/>
  <c r="J105" i="91"/>
  <c r="I105" i="91"/>
  <c r="H105" i="91"/>
  <c r="G105" i="91"/>
  <c r="F105" i="91"/>
  <c r="E105" i="91"/>
  <c r="L75" i="91"/>
  <c r="K75" i="91"/>
  <c r="J75" i="91"/>
  <c r="I75" i="91"/>
  <c r="H75" i="91"/>
  <c r="G75" i="91"/>
  <c r="F75" i="91"/>
  <c r="E75" i="91"/>
  <c r="L71" i="91"/>
  <c r="K71" i="91"/>
  <c r="J71" i="91"/>
  <c r="I71" i="91"/>
  <c r="H71" i="91"/>
  <c r="G71" i="91"/>
  <c r="F71" i="91"/>
  <c r="E71" i="91"/>
  <c r="L67" i="91"/>
  <c r="K67" i="91"/>
  <c r="J67" i="91"/>
  <c r="I67" i="91"/>
  <c r="H67" i="91"/>
  <c r="G67" i="91"/>
  <c r="F67" i="91"/>
  <c r="E67" i="91"/>
  <c r="L63" i="91"/>
  <c r="K63" i="91"/>
  <c r="J63" i="91"/>
  <c r="I63" i="91"/>
  <c r="H63" i="91"/>
  <c r="G63" i="91"/>
  <c r="F63" i="91"/>
  <c r="E63" i="91"/>
  <c r="F59" i="91"/>
  <c r="G59" i="91"/>
  <c r="H59" i="91"/>
  <c r="I59" i="91"/>
  <c r="J59" i="91"/>
  <c r="K59" i="91"/>
  <c r="L59" i="91"/>
  <c r="E59" i="91"/>
  <c r="B22" i="91"/>
  <c r="P35" i="86"/>
  <c r="P305" i="83"/>
  <c r="P33" i="82"/>
  <c r="O33" i="82"/>
  <c r="B12" i="90"/>
  <c r="L201" i="91"/>
  <c r="K201" i="91"/>
  <c r="J201" i="91"/>
  <c r="I201" i="91"/>
  <c r="H201" i="91"/>
  <c r="G201" i="91"/>
  <c r="F201" i="91"/>
  <c r="E201" i="91"/>
  <c r="L196" i="91"/>
  <c r="K196" i="91"/>
  <c r="J196" i="91"/>
  <c r="I196" i="91"/>
  <c r="H196" i="91"/>
  <c r="G196" i="91"/>
  <c r="F196" i="91"/>
  <c r="E196" i="91"/>
  <c r="L191" i="91"/>
  <c r="K191" i="91"/>
  <c r="J191" i="91"/>
  <c r="I191" i="91"/>
  <c r="H191" i="91"/>
  <c r="G191" i="91"/>
  <c r="F191" i="91"/>
  <c r="E191" i="91"/>
  <c r="L186" i="91"/>
  <c r="K186" i="91"/>
  <c r="J186" i="91"/>
  <c r="I186" i="91"/>
  <c r="H186" i="91"/>
  <c r="G186" i="91"/>
  <c r="F186" i="91"/>
  <c r="E186" i="91"/>
  <c r="L181" i="91"/>
  <c r="K181" i="91"/>
  <c r="J181" i="91"/>
  <c r="I181" i="91"/>
  <c r="H181" i="91"/>
  <c r="G181" i="91"/>
  <c r="F181" i="91"/>
  <c r="E181" i="91"/>
  <c r="L176" i="91"/>
  <c r="K176" i="91"/>
  <c r="J176" i="91"/>
  <c r="I176" i="91"/>
  <c r="H176" i="91"/>
  <c r="G176" i="91"/>
  <c r="F176" i="91"/>
  <c r="E176" i="91"/>
  <c r="L171" i="91"/>
  <c r="K171" i="91"/>
  <c r="J171" i="91"/>
  <c r="I171" i="91"/>
  <c r="H171" i="91"/>
  <c r="G171" i="91"/>
  <c r="F171" i="91"/>
  <c r="E171" i="91"/>
  <c r="B130" i="83"/>
  <c r="B129" i="83"/>
  <c r="B128" i="83"/>
  <c r="J43" i="83"/>
  <c r="G43" i="83"/>
  <c r="E43" i="83"/>
  <c r="C43" i="83"/>
  <c r="K27" i="92" l="1"/>
  <c r="K26" i="92"/>
  <c r="J27" i="92"/>
  <c r="J26" i="92"/>
  <c r="K24" i="92"/>
  <c r="K40" i="92" s="1"/>
  <c r="J24" i="92"/>
  <c r="J40" i="92" s="1"/>
  <c r="K31" i="92"/>
  <c r="K34" i="92"/>
  <c r="P13" i="90"/>
  <c r="O13" i="90"/>
  <c r="J31" i="92"/>
  <c r="J34" i="92"/>
  <c r="J28" i="92" l="1"/>
  <c r="K28" i="92"/>
  <c r="B143" i="86" l="1"/>
  <c r="B129" i="86"/>
  <c r="I33" i="90" l="1"/>
  <c r="H33" i="90"/>
  <c r="K24" i="91" l="1"/>
  <c r="J80" i="91" s="1"/>
  <c r="J24" i="91"/>
  <c r="I80" i="91" s="1"/>
  <c r="B25" i="91"/>
  <c r="I54" i="86"/>
  <c r="H54" i="86"/>
  <c r="K103" i="86"/>
  <c r="J1" i="113" s="1"/>
  <c r="O1" i="113" s="1"/>
  <c r="J103" i="86"/>
  <c r="I1" i="113" s="1"/>
  <c r="N1" i="113" s="1"/>
  <c r="K110" i="86"/>
  <c r="J110" i="86"/>
  <c r="J121" i="81"/>
  <c r="O181" i="83"/>
  <c r="J84" i="91" l="1"/>
  <c r="J150" i="91"/>
  <c r="I84" i="91"/>
  <c r="B85" i="86"/>
  <c r="B71" i="86"/>
  <c r="J154" i="91" l="1"/>
  <c r="J221" i="91"/>
  <c r="J225" i="91" s="1"/>
  <c r="I150" i="91"/>
  <c r="I154" i="91" s="1"/>
  <c r="B197" i="91"/>
  <c r="K43" i="92" l="1"/>
  <c r="O74" i="92" l="1"/>
  <c r="O60" i="92"/>
  <c r="O353" i="83"/>
  <c r="O305" i="83"/>
  <c r="B305" i="83" s="1"/>
  <c r="O265" i="83"/>
  <c r="O195" i="83"/>
  <c r="O132" i="83"/>
  <c r="O68" i="83"/>
  <c r="P74" i="92"/>
  <c r="P60" i="92"/>
  <c r="P353" i="83"/>
  <c r="P338" i="83"/>
  <c r="P325" i="83"/>
  <c r="P265" i="83"/>
  <c r="P195" i="83"/>
  <c r="P132" i="83"/>
  <c r="P97" i="83"/>
  <c r="J43" i="92" l="1"/>
  <c r="G34" i="92" l="1"/>
  <c r="H31" i="92"/>
  <c r="G31" i="92"/>
  <c r="I27" i="92"/>
  <c r="H27" i="92"/>
  <c r="I26" i="92"/>
  <c r="H26" i="92"/>
  <c r="F239" i="91"/>
  <c r="L100" i="91"/>
  <c r="K100" i="91"/>
  <c r="J100" i="91"/>
  <c r="I100" i="91"/>
  <c r="H100" i="91"/>
  <c r="G100" i="91"/>
  <c r="F100" i="91"/>
  <c r="E100" i="91"/>
  <c r="H28" i="92" l="1"/>
  <c r="I28" i="92"/>
  <c r="B121" i="81" l="1"/>
  <c r="E121" i="81"/>
  <c r="B192" i="91" l="1"/>
  <c r="B259" i="91"/>
  <c r="B237" i="91" l="1"/>
  <c r="B248" i="91" s="1"/>
  <c r="B234" i="91"/>
  <c r="B22" i="86"/>
  <c r="B249" i="91"/>
  <c r="B245" i="91"/>
  <c r="B242" i="91"/>
  <c r="B218" i="91"/>
  <c r="B163" i="91"/>
  <c r="B53" i="111" l="1"/>
  <c r="B53" i="110"/>
  <c r="B164" i="110"/>
  <c r="B164" i="111"/>
  <c r="B53" i="109"/>
  <c r="B164" i="109"/>
  <c r="B164" i="107"/>
  <c r="B53" i="107"/>
  <c r="B53" i="105"/>
  <c r="B53" i="106"/>
  <c r="B164" i="106"/>
  <c r="B164" i="105"/>
  <c r="B101" i="86"/>
  <c r="B117" i="86"/>
  <c r="B38" i="86"/>
  <c r="B53" i="91"/>
  <c r="B164" i="91"/>
  <c r="B52" i="86"/>
  <c r="B77" i="91"/>
  <c r="O249" i="83"/>
  <c r="O236" i="83"/>
  <c r="O223" i="83"/>
  <c r="B167" i="83"/>
  <c r="D46" i="82" l="1"/>
  <c r="B46" i="82"/>
  <c r="D42" i="82"/>
  <c r="B42" i="82"/>
  <c r="D49" i="82"/>
  <c r="B49" i="82"/>
  <c r="B38" i="82"/>
  <c r="L55" i="91" l="1"/>
  <c r="M161" i="113" s="1"/>
  <c r="U161" i="113" s="1"/>
  <c r="AC161" i="113" s="1"/>
  <c r="K55" i="91" l="1"/>
  <c r="L95" i="91"/>
  <c r="B149" i="83"/>
  <c r="B147" i="83"/>
  <c r="I221" i="91" l="1"/>
  <c r="M12" i="113"/>
  <c r="U12" i="113" s="1"/>
  <c r="AC12" i="113" s="1"/>
  <c r="J55" i="91"/>
  <c r="J95" i="91" s="1"/>
  <c r="L161" i="113"/>
  <c r="T161" i="113" s="1"/>
  <c r="AB161" i="113" s="1"/>
  <c r="I225" i="91"/>
  <c r="K95" i="91"/>
  <c r="L166" i="91"/>
  <c r="P73" i="91"/>
  <c r="O73" i="91"/>
  <c r="P69" i="91"/>
  <c r="O69" i="91"/>
  <c r="P65" i="91"/>
  <c r="O65" i="91"/>
  <c r="P61" i="91"/>
  <c r="O61" i="91"/>
  <c r="P57" i="91"/>
  <c r="O57" i="91"/>
  <c r="J166" i="91" l="1"/>
  <c r="K12" i="113"/>
  <c r="S12" i="113" s="1"/>
  <c r="AA12" i="113" s="1"/>
  <c r="K166" i="91"/>
  <c r="L12" i="113"/>
  <c r="T12" i="113" s="1"/>
  <c r="AB12" i="113" s="1"/>
  <c r="I55" i="91"/>
  <c r="K161" i="113"/>
  <c r="S161" i="113" s="1"/>
  <c r="AA161" i="113" s="1"/>
  <c r="H55" i="91" l="1"/>
  <c r="J161" i="113"/>
  <c r="R161" i="113" s="1"/>
  <c r="Z161" i="113" s="1"/>
  <c r="I95" i="91"/>
  <c r="B21" i="91"/>
  <c r="I166" i="91" l="1"/>
  <c r="J12" i="113"/>
  <c r="R12" i="113" s="1"/>
  <c r="Z12" i="113" s="1"/>
  <c r="G55" i="91"/>
  <c r="I161" i="113"/>
  <c r="Q161" i="113" s="1"/>
  <c r="Y161" i="113" s="1"/>
  <c r="H95" i="91"/>
  <c r="B88" i="92"/>
  <c r="B74" i="92"/>
  <c r="B60" i="92"/>
  <c r="B47" i="92"/>
  <c r="E43" i="92"/>
  <c r="B43" i="92"/>
  <c r="E42" i="92"/>
  <c r="G40" i="92"/>
  <c r="B38" i="92"/>
  <c r="I34" i="92"/>
  <c r="H34" i="92"/>
  <c r="D34" i="92"/>
  <c r="D32" i="92"/>
  <c r="B32" i="92"/>
  <c r="B42" i="92" s="1"/>
  <c r="I31" i="92"/>
  <c r="D31" i="92"/>
  <c r="D29" i="92"/>
  <c r="B29" i="92"/>
  <c r="D53" i="90" s="1"/>
  <c r="D28" i="92"/>
  <c r="D26" i="92"/>
  <c r="B26" i="92"/>
  <c r="G24" i="92"/>
  <c r="H24" i="92" s="1"/>
  <c r="I24" i="92" s="1"/>
  <c r="B22" i="92"/>
  <c r="B147" i="91"/>
  <c r="B93" i="91"/>
  <c r="B72" i="91"/>
  <c r="B68" i="91"/>
  <c r="B64" i="91"/>
  <c r="B60" i="91"/>
  <c r="B56" i="91"/>
  <c r="B52" i="91"/>
  <c r="P34" i="91"/>
  <c r="O34" i="91"/>
  <c r="B41" i="91" s="1"/>
  <c r="P31" i="91"/>
  <c r="O31" i="91"/>
  <c r="B38" i="91" s="1"/>
  <c r="B29" i="91"/>
  <c r="D28" i="91"/>
  <c r="D26" i="91"/>
  <c r="B26" i="91"/>
  <c r="G24" i="91"/>
  <c r="B16" i="91"/>
  <c r="H166" i="91" l="1"/>
  <c r="I12" i="113"/>
  <c r="Q12" i="113" s="1"/>
  <c r="Y12" i="113" s="1"/>
  <c r="F55" i="91"/>
  <c r="H161" i="113"/>
  <c r="P161" i="113" s="1"/>
  <c r="X161" i="113" s="1"/>
  <c r="G95" i="91"/>
  <c r="B140" i="91"/>
  <c r="B145" i="91"/>
  <c r="B138" i="91"/>
  <c r="B143" i="91"/>
  <c r="D31" i="91"/>
  <c r="B98" i="91"/>
  <c r="B151" i="91" s="1"/>
  <c r="B123" i="91"/>
  <c r="B108" i="91"/>
  <c r="B113" i="91"/>
  <c r="B133" i="91"/>
  <c r="B103" i="91"/>
  <c r="B128" i="91"/>
  <c r="C237" i="91"/>
  <c r="B118" i="91"/>
  <c r="D33" i="91"/>
  <c r="B110" i="91"/>
  <c r="B120" i="91"/>
  <c r="B135" i="91"/>
  <c r="C239" i="91"/>
  <c r="B105" i="91"/>
  <c r="B115" i="91"/>
  <c r="B100" i="91"/>
  <c r="B130" i="91"/>
  <c r="B125" i="91"/>
  <c r="B17" i="92"/>
  <c r="B34" i="91"/>
  <c r="B31" i="91"/>
  <c r="H43" i="92"/>
  <c r="I43" i="92"/>
  <c r="H40" i="92"/>
  <c r="I40" i="92" s="1"/>
  <c r="H24" i="91"/>
  <c r="G166" i="91" l="1"/>
  <c r="H12" i="113"/>
  <c r="P12" i="113" s="1"/>
  <c r="X12" i="113" s="1"/>
  <c r="G161" i="113"/>
  <c r="O161" i="113" s="1"/>
  <c r="W161" i="113" s="1"/>
  <c r="E55" i="91"/>
  <c r="F95" i="91"/>
  <c r="B214" i="91"/>
  <c r="B204" i="91"/>
  <c r="B209" i="91"/>
  <c r="B216" i="91"/>
  <c r="B206" i="91"/>
  <c r="B211" i="91"/>
  <c r="D46" i="90"/>
  <c r="D51" i="90"/>
  <c r="D45" i="90"/>
  <c r="D50" i="90"/>
  <c r="D36" i="91"/>
  <c r="B191" i="91"/>
  <c r="B176" i="91"/>
  <c r="B67" i="91"/>
  <c r="B201" i="91"/>
  <c r="B59" i="91"/>
  <c r="B186" i="91"/>
  <c r="B75" i="91"/>
  <c r="B196" i="91"/>
  <c r="B181" i="91"/>
  <c r="B71" i="91"/>
  <c r="B171" i="91"/>
  <c r="B63" i="91"/>
  <c r="D249" i="91"/>
  <c r="D248" i="91"/>
  <c r="D34" i="91"/>
  <c r="B194" i="91"/>
  <c r="B179" i="91"/>
  <c r="B69" i="91"/>
  <c r="B57" i="91"/>
  <c r="B189" i="91"/>
  <c r="B81" i="91"/>
  <c r="B174" i="91"/>
  <c r="B65" i="91"/>
  <c r="B184" i="91"/>
  <c r="B73" i="91"/>
  <c r="B61" i="91"/>
  <c r="B199" i="91"/>
  <c r="B169" i="91"/>
  <c r="B222" i="91" s="1"/>
  <c r="I24" i="91"/>
  <c r="F161" i="113" l="1"/>
  <c r="N161" i="113" s="1"/>
  <c r="V161" i="113" s="1"/>
  <c r="O116" i="86"/>
  <c r="P116" i="86"/>
  <c r="E95" i="91"/>
  <c r="F166" i="91"/>
  <c r="G12" i="113"/>
  <c r="O12" i="113" s="1"/>
  <c r="W12" i="113" s="1"/>
  <c r="D44" i="91"/>
  <c r="D38" i="91"/>
  <c r="D41" i="91" s="1"/>
  <c r="D46" i="91"/>
  <c r="D40" i="91"/>
  <c r="D43" i="91" s="1"/>
  <c r="G221" i="91"/>
  <c r="H221" i="91"/>
  <c r="H225" i="91" s="1"/>
  <c r="E166" i="91" l="1"/>
  <c r="F12" i="113"/>
  <c r="N12" i="113" s="1"/>
  <c r="V12" i="113" s="1"/>
  <c r="G225" i="91"/>
  <c r="B132" i="83"/>
  <c r="B126" i="83"/>
  <c r="B97" i="83"/>
  <c r="E33" i="90" l="1"/>
  <c r="B30" i="90"/>
  <c r="B15" i="90"/>
  <c r="G14" i="90"/>
  <c r="F14" i="90"/>
  <c r="E14" i="90"/>
  <c r="D14" i="90"/>
  <c r="C14" i="90"/>
  <c r="B14" i="90"/>
  <c r="B123" i="86"/>
  <c r="B122" i="86"/>
  <c r="B121" i="86"/>
  <c r="B120" i="86"/>
  <c r="B119" i="86"/>
  <c r="B116" i="86"/>
  <c r="B113" i="86"/>
  <c r="I110" i="86"/>
  <c r="H110" i="86"/>
  <c r="G110" i="86"/>
  <c r="B110" i="86"/>
  <c r="B109" i="86"/>
  <c r="B108" i="86"/>
  <c r="B107" i="86"/>
  <c r="B106" i="86"/>
  <c r="B105" i="86"/>
  <c r="G103" i="86"/>
  <c r="B100" i="86"/>
  <c r="B97" i="86"/>
  <c r="B58" i="86"/>
  <c r="B56" i="86"/>
  <c r="E54" i="86"/>
  <c r="B51" i="86"/>
  <c r="B21" i="86"/>
  <c r="B18" i="86"/>
  <c r="B16" i="86"/>
  <c r="B15" i="86"/>
  <c r="B14" i="86"/>
  <c r="B13" i="86"/>
  <c r="B12" i="86"/>
  <c r="P10" i="86"/>
  <c r="B10" i="86" s="1"/>
  <c r="B13" i="84"/>
  <c r="B10" i="84"/>
  <c r="B10" i="89" s="1"/>
  <c r="B8" i="84"/>
  <c r="B367" i="83"/>
  <c r="B353" i="83"/>
  <c r="B338" i="83"/>
  <c r="B325" i="83"/>
  <c r="B323" i="83"/>
  <c r="B322" i="83"/>
  <c r="B321" i="83"/>
  <c r="B319" i="83"/>
  <c r="B291" i="83"/>
  <c r="B278" i="83"/>
  <c r="B265" i="83"/>
  <c r="B249" i="83"/>
  <c r="B236" i="83"/>
  <c r="B223" i="83"/>
  <c r="B210" i="83"/>
  <c r="B208" i="83"/>
  <c r="B195" i="83"/>
  <c r="B181" i="83"/>
  <c r="B113" i="83"/>
  <c r="B83" i="83"/>
  <c r="B68" i="83"/>
  <c r="B39" i="83"/>
  <c r="B26" i="83"/>
  <c r="B10" i="83"/>
  <c r="B9" i="83"/>
  <c r="B8" i="83"/>
  <c r="B31" i="82"/>
  <c r="L29" i="82"/>
  <c r="K29" i="82"/>
  <c r="J29" i="82"/>
  <c r="I29" i="82"/>
  <c r="H29" i="82"/>
  <c r="G29" i="82"/>
  <c r="F29" i="82"/>
  <c r="E29" i="82"/>
  <c r="D29" i="82"/>
  <c r="B29" i="82"/>
  <c r="L19" i="82"/>
  <c r="K19" i="82"/>
  <c r="J19" i="82"/>
  <c r="I19" i="82"/>
  <c r="H19" i="82"/>
  <c r="G19" i="82"/>
  <c r="F19" i="82"/>
  <c r="E19" i="82"/>
  <c r="D19" i="82"/>
  <c r="B19" i="82"/>
  <c r="B15" i="82"/>
  <c r="B12" i="82"/>
  <c r="B10" i="82"/>
  <c r="L8" i="82"/>
  <c r="K8" i="82"/>
  <c r="J8" i="82"/>
  <c r="I8" i="82"/>
  <c r="H8" i="82"/>
  <c r="G8" i="82"/>
  <c r="F8" i="82"/>
  <c r="E8" i="82"/>
  <c r="D8" i="82"/>
  <c r="B8" i="82"/>
  <c r="J120" i="81"/>
  <c r="E120" i="81"/>
  <c r="B120" i="81"/>
  <c r="B118" i="81"/>
  <c r="L116" i="81"/>
  <c r="K116" i="81"/>
  <c r="J116" i="81"/>
  <c r="I116" i="81"/>
  <c r="H116" i="81"/>
  <c r="F116" i="81"/>
  <c r="E116" i="81"/>
  <c r="D116" i="81"/>
  <c r="C116" i="81"/>
  <c r="B111" i="81"/>
  <c r="B113" i="81"/>
  <c r="B110" i="81"/>
  <c r="B109" i="81"/>
  <c r="L107" i="81"/>
  <c r="K107" i="81"/>
  <c r="J107" i="81"/>
  <c r="I107" i="81"/>
  <c r="H107" i="81"/>
  <c r="F107" i="81"/>
  <c r="E107" i="81"/>
  <c r="D107" i="81"/>
  <c r="C107" i="81"/>
  <c r="B99" i="81"/>
  <c r="B97" i="81"/>
  <c r="B95" i="81"/>
  <c r="B93" i="81"/>
  <c r="B91" i="81"/>
  <c r="B77" i="81"/>
  <c r="B76" i="81"/>
  <c r="B73" i="81"/>
  <c r="B71" i="81"/>
  <c r="B69" i="81"/>
  <c r="B63" i="81"/>
  <c r="L61" i="81"/>
  <c r="K61" i="81"/>
  <c r="J61" i="81"/>
  <c r="I61" i="81"/>
  <c r="H61" i="81"/>
  <c r="F61" i="81"/>
  <c r="E61" i="81"/>
  <c r="D61" i="81"/>
  <c r="C61" i="81"/>
  <c r="P57" i="81"/>
  <c r="O57" i="81"/>
  <c r="L55" i="81"/>
  <c r="K55" i="81"/>
  <c r="J55" i="81"/>
  <c r="I55" i="81"/>
  <c r="H55" i="81"/>
  <c r="F55" i="81"/>
  <c r="E55" i="81"/>
  <c r="D55" i="81"/>
  <c r="C55" i="81"/>
  <c r="B55" i="81"/>
  <c r="B38" i="81"/>
  <c r="B40" i="81"/>
  <c r="B33" i="81"/>
  <c r="B26" i="81"/>
  <c r="L24" i="81"/>
  <c r="K24" i="81"/>
  <c r="J24" i="81"/>
  <c r="I24" i="81"/>
  <c r="H24" i="81"/>
  <c r="F24" i="81"/>
  <c r="E24" i="81"/>
  <c r="D24" i="81"/>
  <c r="C24" i="81"/>
  <c r="B14" i="109" l="1"/>
  <c r="B14" i="110"/>
  <c r="B14" i="111"/>
  <c r="B15" i="109"/>
  <c r="B15" i="110"/>
  <c r="B15" i="111"/>
  <c r="B8" i="109"/>
  <c r="B8" i="110"/>
  <c r="B8" i="111"/>
  <c r="B9" i="109"/>
  <c r="B9" i="110"/>
  <c r="B9" i="111"/>
  <c r="B10" i="109"/>
  <c r="B11" i="111"/>
  <c r="B11" i="110"/>
  <c r="B12" i="109"/>
  <c r="B12" i="111"/>
  <c r="B12" i="110"/>
  <c r="B13" i="109"/>
  <c r="B13" i="110"/>
  <c r="B13" i="111"/>
  <c r="B8" i="107"/>
  <c r="B12" i="107"/>
  <c r="B9" i="107"/>
  <c r="B13" i="107"/>
  <c r="B10" i="107"/>
  <c r="B14" i="107"/>
  <c r="B15" i="107"/>
  <c r="B13" i="105"/>
  <c r="B13" i="106"/>
  <c r="B14" i="106"/>
  <c r="B14" i="105"/>
  <c r="B15" i="106"/>
  <c r="B15" i="105"/>
  <c r="B8" i="106"/>
  <c r="B8" i="105"/>
  <c r="B9" i="105"/>
  <c r="B9" i="106"/>
  <c r="B10" i="105"/>
  <c r="B10" i="106"/>
  <c r="B12" i="105"/>
  <c r="B12" i="106"/>
  <c r="B10" i="92"/>
  <c r="B14" i="92"/>
  <c r="B15" i="92"/>
  <c r="B12" i="92"/>
  <c r="B13" i="92"/>
  <c r="B16" i="92"/>
  <c r="B4" i="91"/>
  <c r="B4" i="86"/>
  <c r="B4" i="89"/>
  <c r="B4" i="84"/>
  <c r="B4" i="90"/>
  <c r="B4" i="92"/>
  <c r="B4" i="83"/>
  <c r="B8" i="91"/>
  <c r="B8" i="92"/>
  <c r="B8" i="86"/>
  <c r="B9" i="92"/>
  <c r="B9" i="91"/>
  <c r="B9" i="86"/>
  <c r="B11" i="91"/>
  <c r="B12" i="91"/>
  <c r="B14" i="91"/>
  <c r="B13" i="91"/>
  <c r="B15" i="91"/>
  <c r="D57" i="81"/>
  <c r="B13" i="90"/>
  <c r="B5" i="82"/>
  <c r="B5" i="109" s="1"/>
  <c r="C15" i="90"/>
  <c r="G15" i="90"/>
  <c r="F15" i="90"/>
  <c r="E15" i="90"/>
  <c r="D15" i="90"/>
  <c r="F54" i="86"/>
  <c r="G54" i="86" s="1"/>
  <c r="H103" i="86"/>
  <c r="I103" i="86" s="1"/>
  <c r="F33" i="90"/>
  <c r="G33" i="90" s="1"/>
  <c r="B5" i="107" l="1"/>
  <c r="B5" i="106"/>
  <c r="B5" i="105"/>
  <c r="B5" i="90"/>
  <c r="B5" i="83"/>
  <c r="B5" i="84"/>
  <c r="B5" i="86"/>
  <c r="B5" i="91"/>
  <c r="B5" i="92"/>
  <c r="B5" i="8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D717962A-D7A8-4C00-8763-CDE397445B30}">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tc={32958E7C-C115-44D2-8ECA-B8DB96EAAE61}</author>
  </authors>
  <commentList>
    <comment ref="O1" authorId="0" shapeId="0" xr:uid="{32958E7C-C115-44D2-8ECA-B8DB96EAAE61}">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List>
</comments>
</file>

<file path=xl/sharedStrings.xml><?xml version="1.0" encoding="utf-8"?>
<sst xmlns="http://schemas.openxmlformats.org/spreadsheetml/2006/main" count="1709" uniqueCount="696">
  <si>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</si>
  <si>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</si>
  <si>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</si>
  <si>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</si>
  <si>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</si>
  <si>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</si>
  <si>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</si>
  <si>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</si>
  <si>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</si>
  <si>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</si>
  <si>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</si>
  <si>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</si>
  <si>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</si>
  <si>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</si>
  <si>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</si>
  <si>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</si>
  <si>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</si>
  <si>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</si>
  <si>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</si>
  <si>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</si>
  <si>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</si>
  <si>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</si>
  <si>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</si>
  <si>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</si>
  <si>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</si>
  <si>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</si>
  <si>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</si>
  <si>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</si>
  <si>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</si>
  <si>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</si>
  <si>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</si>
  <si>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</si>
  <si>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</si>
  <si>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</si>
  <si>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Atlantic Provinces</t>
  </si>
  <si>
    <t>Provinces de l’Atlantique</t>
  </si>
  <si>
    <t xml:space="preserve">Quebec and Ontario </t>
  </si>
  <si>
    <t>Québec et Ontario</t>
  </si>
  <si>
    <t>Manitoba and Saskatchewan</t>
  </si>
  <si>
    <t>Alberta and British Columbia</t>
  </si>
  <si>
    <t>Alberta et Colombie-Britannique</t>
  </si>
  <si>
    <t>Nunavut, Yukon and Northwest Territories</t>
  </si>
  <si>
    <t>Nunavut, Yukon et Territoires du Nord-Ouest</t>
  </si>
  <si>
    <t xml:space="preserve">Manitoba et Saskatchewan </t>
  </si>
  <si>
    <t>Question 13</t>
  </si>
  <si>
    <t>Account 1</t>
  </si>
  <si>
    <t>Client 1</t>
  </si>
  <si>
    <t>Account 2</t>
  </si>
  <si>
    <t>Client 2</t>
  </si>
  <si>
    <t>Account 3</t>
  </si>
  <si>
    <t>Client 3</t>
  </si>
  <si>
    <t>Account 4</t>
  </si>
  <si>
    <t>Client 4</t>
  </si>
  <si>
    <t>Account 5</t>
  </si>
  <si>
    <t>Client 5</t>
  </si>
  <si>
    <t>Question 16</t>
  </si>
  <si>
    <t>Question 14</t>
  </si>
  <si>
    <t>Question 15</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</si>
  <si>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</si>
  <si>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</si>
  <si>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</si>
  <si>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</si>
  <si>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</si>
  <si>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Utilisateur final</t>
  </si>
  <si>
    <t>Rôle dans l'industrie</t>
  </si>
  <si>
    <t>Question 19</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</si>
  <si>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</si>
  <si>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</si>
  <si>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</si>
  <si>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</si>
  <si>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</si>
  <si>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</si>
  <si>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</si>
  <si>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</si>
  <si>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Provide a brief history of your firm, with particular emphasis on activities regarding the goods.</t>
  </si>
  <si>
    <t>Donnez un bref historique de votre entreprise, en insistant plus particulièrement sur les activités entourant les marchandises.</t>
  </si>
  <si>
    <t>Question 17</t>
  </si>
  <si>
    <t>Question 18</t>
  </si>
  <si>
    <t>Question 20</t>
  </si>
  <si>
    <t>Question 21</t>
  </si>
  <si>
    <t>Question 22</t>
  </si>
  <si>
    <t>Question 23</t>
  </si>
  <si>
    <t>Question 24</t>
  </si>
  <si>
    <t>Question 25</t>
  </si>
  <si>
    <t>COMMENTAIRES PUBLICS</t>
  </si>
  <si>
    <t>Fournissez les stocks et ventes à l'exportation des marchandises importées.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</si>
  <si>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</si>
  <si>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</si>
  <si>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</si>
  <si>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</si>
  <si>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</si>
  <si>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</si>
  <si>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</si>
  <si>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</si>
  <si>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</si>
  <si>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</si>
  <si>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</si>
  <si>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</si>
  <si>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</si>
  <si>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</si>
  <si>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</si>
  <si>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</si>
  <si>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</si>
  <si>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</si>
  <si>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</si>
  <si>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</si>
  <si>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</si>
  <si>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</si>
  <si>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</si>
  <si>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</si>
  <si>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</si>
  <si>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</si>
  <si>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</si>
  <si>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</si>
  <si>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</si>
  <si>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</si>
  <si>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</si>
  <si>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</si>
  <si>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</si>
  <si>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</si>
  <si>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</si>
  <si>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</si>
  <si>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</si>
  <si>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</si>
  <si>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</si>
  <si>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</si>
  <si>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Sales</t>
  </si>
  <si>
    <t>Ventes</t>
  </si>
  <si>
    <t>Describe how delivery of the goods sold by your firm is paid for.</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</si>
  <si>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</si>
  <si>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</si>
  <si>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</si>
  <si>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</si>
  <si>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</si>
  <si>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</si>
  <si>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</si>
  <si>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</si>
  <si>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</si>
  <si>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</si>
  <si>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</si>
  <si>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</si>
  <si>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</si>
  <si>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</si>
  <si>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</si>
  <si>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Beginning inventory</t>
  </si>
  <si>
    <t>Stock d'ouverture</t>
  </si>
  <si>
    <t>Ventes à l'exportation</t>
  </si>
  <si>
    <t>Ending inventory</t>
  </si>
  <si>
    <t>Décrivez les plans de votre entreprise pour gérer les niveaux de stocks au cours des deux prochaines années. Fournissez les motifs et les hypothèses sous-tendant ces objectifs et ces stratégies.</t>
  </si>
  <si>
    <t>Delivery Cost</t>
  </si>
  <si>
    <t>Coût de livraison</t>
  </si>
  <si>
    <t>Regional Sales</t>
  </si>
  <si>
    <t>Ventes régionales</t>
  </si>
  <si>
    <t>For additional details, view the Info tab.</t>
  </si>
  <si>
    <t>Pour plus de détails, consultez l'onglet Info.</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</si>
  <si>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</si>
  <si>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</si>
  <si>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</si>
  <si>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</si>
  <si>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</si>
  <si>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</si>
  <si>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</si>
  <si>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</si>
  <si>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</si>
  <si>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</si>
  <si>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Indicate the primary industries of your customers of the goods.</t>
  </si>
  <si>
    <t>Fournissez la répartition régionale du volume des ventes d'importations de marchandises par votre entreprise.</t>
  </si>
  <si>
    <t>Type</t>
  </si>
  <si>
    <t xml:space="preserve">Exporter name: </t>
  </si>
  <si>
    <t>Nom de l'exportateur :</t>
  </si>
  <si>
    <t>Importations</t>
  </si>
  <si>
    <t xml:space="preserve">Report the volume and value of sales of imports in Canada for each benchmark product listed below : </t>
  </si>
  <si>
    <t xml:space="preserve">Report the volume and value of sales of imports in Canada for each account listed below : </t>
  </si>
  <si>
    <t>Déclarez le volume et la valeur des ventes d'importations au Canada pour chaque compte indiqué ci-dessous :</t>
  </si>
  <si>
    <t>Provide your firm's inventories and export sales of imports of the goods.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</si>
  <si>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</si>
  <si>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</si>
  <si>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</si>
  <si>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</si>
  <si>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</si>
  <si>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</si>
  <si>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</si>
  <si>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</si>
  <si>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</si>
  <si>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</si>
  <si>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</si>
  <si>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</si>
  <si>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</si>
  <si>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</si>
  <si>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Error</t>
  </si>
  <si>
    <t>Erreur</t>
  </si>
  <si>
    <t>Okay</t>
  </si>
  <si>
    <t xml:space="preserve">Report the volume and value of imports for each benchmark product listed below : </t>
  </si>
  <si>
    <t>Indiquez le volume et la valeur des importations pour chaque produit de référence :</t>
  </si>
  <si>
    <t xml:space="preserve">Report the volume of imports and the ending inventory in Canada of the goods originating from the exporter outlined above : </t>
  </si>
  <si>
    <t>Ending Inventories</t>
  </si>
  <si>
    <t>Difference between ending inventory in Question 1 on the Invent-Stock tab and the calculated ending inventory</t>
  </si>
  <si>
    <t>GLOSSAIRE</t>
  </si>
  <si>
    <t/>
  </si>
  <si>
    <t xml:space="preserve">Report the volume and value of imports during CBSA's period of dumping investigation : </t>
  </si>
  <si>
    <t>Indiquez le volume et la valeur des importations pendant la période d'enquête de dumping de l'ASFC :</t>
  </si>
  <si>
    <t>Benchmark Products 6</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</si>
  <si>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</si>
  <si>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</si>
  <si>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</si>
  <si>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Dans quelle langue préférez-vous remplir ce questionnaire?</t>
  </si>
  <si>
    <t>SALES OF IMPORTS IN CANADA TO TOP FIVE ACCOUNTS</t>
  </si>
  <si>
    <t>VENTES D'IMPORTATIONS AU CANADA À VOS CINQ PLUS IMPORTANTS CLIENTS</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</si>
  <si>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</si>
  <si>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</si>
  <si>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</si>
  <si>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</si>
  <si>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Si votre entreprise désire ajouter des commentaires concernant vos réponses, vous les inscrivez ici. Indiquez à quelle question se rapportent vos commentaires.</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</si>
  <si>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</si>
  <si>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</si>
  <si>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</si>
  <si>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</si>
  <si>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</si>
  <si>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</si>
  <si>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</si>
  <si>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Broker or trader</t>
  </si>
  <si>
    <t>Courtier ou commerçant</t>
  </si>
  <si>
    <t>Unaccounted</t>
  </si>
  <si>
    <t>Provide the regional distribution of your firm's volume of import sales of the goods.</t>
  </si>
  <si>
    <t>Provide your firm’s strategies and objectives for the next two years with respect to imports and sales of imports of the goods. Provide the rationale and assumptions underlying these strategies and objectives.</t>
  </si>
  <si>
    <t>Fournissez les stratégies et les objectifs de votre entreprise pour les deux prochaines années en ce qui concerne les importations et les ventes de marchandises importées. Fournir la justification et les hypothèses qui sous-tendent ces stratégies et objectifs.</t>
  </si>
  <si>
    <t>Fournissez les stratégies et les objectifs de votre entreprise pour les deux prochaines années en ce qui concerne les achats de marchandises fabriquées au Canada. Fournir la justification et les hypothèses qui sous-tendent ces stratégies et objectifs.</t>
  </si>
  <si>
    <t>Benchmark Products 7</t>
  </si>
  <si>
    <t>Benchmark Products 8</t>
  </si>
  <si>
    <t>Is there a different customer base in Canada for purchasing these goods?</t>
  </si>
  <si>
    <t>Existe-t-il une clientèle distincte au Canada pour l'achat de ces marchandises?</t>
  </si>
  <si>
    <t>Int period 1</t>
  </si>
  <si>
    <t>Int period 2</t>
  </si>
  <si>
    <t>Should your firm wish to add any comments related to its responses, submit them here. Be sure to indicate the applicable question number.</t>
  </si>
  <si>
    <t>Imports in Canada</t>
  </si>
  <si>
    <t>Importations au Canada</t>
  </si>
  <si>
    <t>Sales in Canada</t>
  </si>
  <si>
    <t>Ventes au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</si>
  <si>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</si>
  <si>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</si>
  <si>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</si>
  <si>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</si>
  <si>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</si>
  <si>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</si>
  <si>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</si>
  <si>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</si>
  <si>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</si>
  <si>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</si>
  <si>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Non Imputé</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</si>
  <si>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</si>
  <si>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</si>
  <si>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</si>
  <si>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</si>
  <si>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</si>
  <si>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</si>
  <si>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</si>
  <si>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</si>
  <si>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</si>
  <si>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</si>
  <si>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</si>
  <si>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</si>
  <si>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</si>
  <si>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</si>
  <si>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</si>
  <si>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</si>
  <si>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</si>
  <si>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Différence entre le stock de clôture à la question 1 dans l'onglet Invent-Stock et le stock de clôture calculé</t>
  </si>
  <si>
    <t>Si le volume du stock de clôture à la question 1 dans l'onglet Invent-Stock diffère du stock de clôture calculé, expliquez pourquoi il y a une différence.</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</si>
  <si>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</si>
  <si>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</si>
  <si>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</si>
  <si>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</si>
  <si>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</si>
  <si>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</si>
  <si>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</si>
  <si>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Describe the differences between the commercial and structural quality of the goods on both a price and cost basis. If available, please also provide the price lists to demonstrate these differences.</t>
  </si>
  <si>
    <t>Décrivez les différences entre la qualité commerciale et la qualité de construction des marchandises, tant en termes de prix que de coût. Si vous disposez des listes de prix, veuillez également les fournir de manière à illustrer ces différences.</t>
  </si>
  <si>
    <t>Provide your firm’s strategies and objectives for the next two years with respect to purchases of the goods made in Canada. Provide the rationale and assumptions underlying these strategies and objectives.</t>
  </si>
  <si>
    <t>Plans</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</si>
  <si>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</si>
  <si>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</si>
  <si>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</si>
  <si>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</si>
  <si>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 xml:space="preserve">Provide your firm's imports and sales of imports of the goods from: </t>
  </si>
  <si>
    <t xml:space="preserve">Indiquez les importations et les ventes de marchandises de votre entreprise de : </t>
  </si>
  <si>
    <t>Additional Product Info</t>
  </si>
  <si>
    <t>Analyst 1</t>
  </si>
  <si>
    <t>Analyst 2</t>
  </si>
  <si>
    <t>Unit of measure (plural)</t>
  </si>
  <si>
    <t>tonnes</t>
  </si>
  <si>
    <t>Unit of measure (singular)</t>
  </si>
  <si>
    <t>tonne</t>
  </si>
  <si>
    <t>distributors</t>
  </si>
  <si>
    <t>distributeurs</t>
  </si>
  <si>
    <t>end users</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</si>
  <si>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</si>
  <si>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</si>
  <si>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</si>
  <si>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</si>
  <si>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</si>
  <si>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</si>
  <si>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</si>
  <si>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</si>
  <si>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</si>
  <si>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If no, explain why CBSA import data indicates that you imported using the HS codes listed on the Info tab during this period.</t>
  </si>
  <si>
    <t>Si non, expliquez pourquoi les données d'importation de l'ASFC indiquent que vous avez importé en utilisant les codes SH énumérés dans l'onglet Info au cours de cette période.</t>
  </si>
  <si>
    <t>FAILURE TO COMPLETE QUESTIONNAIRE</t>
  </si>
  <si>
    <t>QUESTIONNAIRE NON REMPLI</t>
  </si>
  <si>
    <t>QUESTIONS</t>
  </si>
  <si>
    <t>IMPORTERS' QUESTIONNAIRE</t>
  </si>
  <si>
    <t>QUESTIONNAIRE À L'INTENTION DES IMPORTATEURS</t>
  </si>
  <si>
    <t>QUESTIONNAIRE OUTLINE</t>
  </si>
  <si>
    <t>APERÇU DU QUESTIONNAIRE</t>
  </si>
  <si>
    <t>ADDITIONAL PRODUCT INFORMATION</t>
  </si>
  <si>
    <t>RENSEIGNEMENTS ADDITIONNELS SUR LE PRODUIT</t>
  </si>
  <si>
    <t>GLOSSARY</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</si>
  <si>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</si>
  <si>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</si>
  <si>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</si>
  <si>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</si>
  <si>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</si>
  <si>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</si>
  <si>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</si>
  <si>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</si>
  <si>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</si>
  <si>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</si>
  <si>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</si>
  <si>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</si>
  <si>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Other</t>
  </si>
  <si>
    <t>Autre</t>
  </si>
  <si>
    <t>PROTECTED</t>
  </si>
  <si>
    <t>PROTÉGÉ</t>
  </si>
  <si>
    <t>IMPORTS OF BENCHMARK PRODUCTS</t>
  </si>
  <si>
    <t>IMPORTS AND SALES</t>
  </si>
  <si>
    <t>IMPORTATIONS ET VENTES</t>
  </si>
  <si>
    <t>SALES IN CANADA OF IMPORTS TO THE TOP FIVE ACCOUNTS</t>
  </si>
  <si>
    <t>SALES IN CANADA OF IMPORTS OF BENCHMARK PRODUCTS</t>
  </si>
  <si>
    <t>IMPORT DATA FOR CBSA PERIOD OF DUMPING INVESTIGATION</t>
  </si>
  <si>
    <t>DONNÉES SUR LES IMPORTATIONS POUR LA PÉRIODE D'ENQUÊTE ANTIDUMPING DE L'ASFC</t>
  </si>
  <si>
    <t>IMPORT DATA FOR MASSIVE IMPORTATION ANALYSIS</t>
  </si>
  <si>
    <t>valeur d'achat nette rendue (CAD)</t>
  </si>
  <si>
    <t>net delivered purchase value (CAD)</t>
  </si>
  <si>
    <t>valeur de vente nette rendue (CAD)</t>
  </si>
  <si>
    <t>net delivered selling value (CAD)</t>
  </si>
  <si>
    <t>Total sales in Canada</t>
  </si>
  <si>
    <t>Ventes totales au Canada</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</si>
  <si>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</si>
  <si>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</si>
  <si>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</si>
  <si>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</si>
  <si>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</si>
  <si>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</si>
  <si>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Imp-Exp Question 1</t>
  </si>
  <si>
    <t>Imp-Exp Questions 2, 3, 4</t>
  </si>
  <si>
    <t>• Report only sales from your firm’s imports. Sales of goods purchased from Canadian producers must be excluded.</t>
  </si>
  <si>
    <t>Distributor</t>
  </si>
  <si>
    <t>Distributeur</t>
  </si>
  <si>
    <t>Note: Public/non-confidential information in this table is automatically generated from the information provided in the "Imp" tabs and "Invent-Stock" tab. Any changes to this public summary must therefore be made in those tabs.</t>
  </si>
  <si>
    <t>Drop down lists (MODIFY AS PER CASE SPECIFICS)</t>
  </si>
  <si>
    <t>In the table below, “Error” means that the total sales to your firm’s top five accounts for that period exceed your firm’s total import sales for that period. Therefore, please modify the above data if necessary.</t>
  </si>
  <si>
    <t>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t>
  </si>
  <si>
    <t>In the table below, “Error” means that the total imports of your firm's benchmark products exceed your firm's total imports for that period. Therefore, please modify the above data if necessary.</t>
  </si>
  <si>
    <t>Dans le tableau ci-dessous, « Erreur » signifie que les importations totales des produits de référence de votre entreprise dépassent les importations totales de votre entreprise pour cette période. Par conséquent, veuillez modifier les données ci-dessus si nécessaire.</t>
  </si>
  <si>
    <t>In the table below, “Error” means that the total sales of your firm's benchmark products exceed your firm's total import sales for that period. Therefore, please modify the above data if necessary.</t>
  </si>
  <si>
    <t>Explain any impacts on these outlooks should there be a finding of injury or threat of injury. Provide documents, or the names of documents, such as studies or articles in trade journals, that support your firm's statement.</t>
  </si>
  <si>
    <t>Expliquez les effets possibles sur ces perspectives advenant des conclusions du dommage ou du menace de dommage. Fournissez des documents, ou les noms de documents, tels que des études ou des articles dans des revues spécialisées, qui appuient la déclaration de votre entreprise.</t>
  </si>
  <si>
    <t>INVENTORIES AND EXPORT SALES</t>
  </si>
  <si>
    <t>STOCKS ET VENTES À L'EXPORTATION</t>
  </si>
  <si>
    <t>Intro</t>
  </si>
  <si>
    <t>Yes</t>
  </si>
  <si>
    <t>No</t>
  </si>
  <si>
    <t>Oui</t>
  </si>
  <si>
    <t>Non</t>
  </si>
  <si>
    <t>If no, explain.</t>
  </si>
  <si>
    <t>Si non, expliquez.</t>
  </si>
  <si>
    <t>Describe any factors (for example, shipping delays, seasonality, etc.) which would explain the overall trend in your firm's quarterly import volumes and ending inventories, as reported in Question 6.</t>
  </si>
  <si>
    <t>Décrivez tous les facteurs (par exemple, les retards d’expédition, la saisonnalité, etc.) qui pourraient expliquer la tendance générale des volumes d’importation trimestriels et des stocks finals de votre entreprise, comme indiqué dans la question 6.</t>
  </si>
  <si>
    <t>Q1</t>
  </si>
  <si>
    <t>T1</t>
  </si>
  <si>
    <t>Jun-Dec 2023</t>
  </si>
  <si>
    <t>juin-déc 2023</t>
  </si>
  <si>
    <t>Month Q posted</t>
  </si>
  <si>
    <t>Date for massive importation</t>
  </si>
  <si>
    <t>n/a</t>
  </si>
  <si>
    <t>CBSA Determination Date</t>
  </si>
  <si>
    <t>90 Days Prior</t>
  </si>
  <si>
    <t>Last Q to request</t>
  </si>
  <si>
    <t>DEVEZ-VOUS REMPLIR CE QUESTIONNAIRE?</t>
  </si>
  <si>
    <t>Valeur d’achat nette rendue (coût de revient)</t>
  </si>
  <si>
    <t>les pays sujets</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</si>
  <si>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</si>
  <si>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</si>
  <si>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</si>
  <si>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La livraison et ses frais sont pris en charge par votre entreprise.</t>
  </si>
  <si>
    <t>L'exportateur s'occupe de la livraison mais les frais de livraison sont facturés séparément à votre entreprise.</t>
  </si>
  <si>
    <t>Sélectionnez oui ou non</t>
  </si>
  <si>
    <t>utilisateurs finals</t>
  </si>
  <si>
    <t>VENTES AU CANADA D'IMPORTATIONS À VOS CINQ PLUS IMPORTANTS CLIENTS</t>
  </si>
  <si>
    <t>IMPORTATIONS DE PRODUITS DE RÉFÉRENCE</t>
  </si>
  <si>
    <t>Indiquez le volume et la valeur des ventes d'importations au Canada pour chaque produit de référence :</t>
  </si>
  <si>
    <t>VENTES AU CANADA D'IMPORTATIONS DE PRODUITS DE RÉFÉRENCE</t>
  </si>
  <si>
    <t>Dans le tableau ci-dessous, « Erreur » signifie que les ventes totales des produits de référence de votre entreprise dépassent les ventes totales d'importations de votre entreprise pour cette période. Par conséquent, veuillez modifier les données ci-dessus si nécessaire.</t>
  </si>
  <si>
    <t>DONNÉES SUR LES IMPORTATIONS POUR L'ANALYSE DES IMPORTATIONS MASSIVES</t>
  </si>
  <si>
    <t>Stock de clôture</t>
  </si>
  <si>
    <t>Indiquez le volume des importations et le stock de clôture au Canada des marchandises provenant de l'exportateur décrit ci-dessus :</t>
  </si>
  <si>
    <t>SVP accorder ces mots : "défini/définis/définie/définies"; "originaire/originaires"; "exporté/exportés/exportée/exportées" selon le(s) mot(s) utilisé(s) pour décrire les biens couverts par ce NQ (soit avec "les marchandises" (féminin pluriel) ou avec la définition de ces marchandises)</t>
  </si>
  <si>
    <t>Indiquez dans quels segments de marché ces marchandises sont vendues.</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</si>
  <si>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</si>
  <si>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</si>
  <si>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</si>
  <si>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</si>
  <si>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dumping</t>
  </si>
  <si>
    <t>le dumping</t>
  </si>
  <si>
    <t>i.e. columns B-L should be 160 pixels each.</t>
  </si>
  <si>
    <t>When adding or modifying columns, please ensure the total of all column widths in a tab equals 1760 pixels to allow for consistent scaling when exported to PDF.</t>
  </si>
  <si>
    <t>Using data provided in Question 1 in the country tabs with the data provided in Question 1 on the Invent-Stock tab, the questionnaire calculates ending inventory as follows:</t>
  </si>
  <si>
    <t>En utilisant les données fournies à la question 1 dans les onglets des pays avec les données fournies à la question 1 sur l'onglet Invent-Stock, le questionnaire calcule le stock de clôture comme suit :</t>
  </si>
  <si>
    <t>Pro Questions 2, 3, 4</t>
  </si>
  <si>
    <t xml:space="preserve">Your firm arranges and pays for delivery directly. </t>
  </si>
  <si>
    <t>hiddenc</t>
  </si>
  <si>
    <t>Provide the proportion of your import net delivered selling value that is represented by delivery costs.</t>
  </si>
  <si>
    <t>Indiquez la proportion de la valeur de vente nette rendue de vos importations qui est représentée par les frais de livraison.</t>
  </si>
  <si>
    <t>Delivery costs</t>
  </si>
  <si>
    <t>Coûts de livraison</t>
  </si>
  <si>
    <t>The costs of freight, handling, and insurance to your Canadian warehouse and, where applicable, all import costs such as customs and other duties (including anti-dumping and countervailing duties), brokerage fees and surcharges.</t>
  </si>
  <si>
    <t xml:space="preserve">Les coûts de fret, manutention et assurance à votre entrepôt canadien et, le cas échéant, tous les frais d’importation, comme les droits de douane et autres (y compris les droits antidumping et compensateurs), les frais de courtage et les suppléments. </t>
  </si>
  <si>
    <t>The value of your sales net of all discounts (cash, quantity or deferred), allowances, taxes, rebates and incentives, whether or not shown on the invoice. It includes all delivery costs.</t>
  </si>
  <si>
    <t>Verification - volume</t>
  </si>
  <si>
    <t>Vérification - volume</t>
  </si>
  <si>
    <t>Verification - value</t>
  </si>
  <si>
    <t>Vérification - valeur</t>
  </si>
  <si>
    <t>volume - total imports of benchmark products (Question 3)</t>
  </si>
  <si>
    <t>volume - total des importations des produits de référence (Question 3)</t>
  </si>
  <si>
    <t>volume - total imports (Question 1)</t>
  </si>
  <si>
    <t>volume - total des importations (Question 1)</t>
  </si>
  <si>
    <t>value - total imports of benchmark products (Question 3)</t>
  </si>
  <si>
    <t>valeur - total des importations des produits de référence (Question 3)</t>
  </si>
  <si>
    <t>valeur - total imports (Question 1)</t>
  </si>
  <si>
    <t>valeur - total des importations (Question 1)</t>
  </si>
  <si>
    <t>volume - total sales in Canada of imports to the top five accounts (Question 2)</t>
  </si>
  <si>
    <t>volume - total sales in Canada of imports (Question 1)</t>
  </si>
  <si>
    <t>volume - total des ventes au Canada d'importations aux cinq principaux clients (Question 2)</t>
  </si>
  <si>
    <t>volume - total des ventes au Canada d'importations (Question 1)</t>
  </si>
  <si>
    <t>valeur - total des ventes au Canada d'importations aux cinq principaux clients (Question 2)</t>
  </si>
  <si>
    <t>valeur - total des ventes au Canada d'importations (Question 1)</t>
  </si>
  <si>
    <t>value - total sales in Canada of imports to the top five accounts (Question 2)</t>
  </si>
  <si>
    <t>value - total sales in Canada of imports (Question 1)</t>
  </si>
  <si>
    <t>volume - total sales in Canada of imports of benchmark products (Question 4)</t>
  </si>
  <si>
    <t>value - total sales in Canada of imports of benchmark products (Question 4)</t>
  </si>
  <si>
    <t>volume - total des ventes au Canada d'importations des produits de référence (Question 4)</t>
  </si>
  <si>
    <t>valeur - total des ventes au Canada d'importations des produits de référence (Question 4)</t>
  </si>
  <si>
    <t xml:space="preserve">Your firm handles delivery, and the cost is built into the price. </t>
  </si>
  <si>
    <t xml:space="preserve">Your firm handles delivery, but charges the purchaser separately for it. </t>
  </si>
  <si>
    <t xml:space="preserve">The purchaser arranges and pays for delivery directly. </t>
  </si>
  <si>
    <t>Votre entreprise s'occupe de la livraison et les frais de livraison sont inclus dans le prix de vente.</t>
  </si>
  <si>
    <t>Votre entreprise s'occupe de la livraison mais les frais de livraison sont facturés séparément à l’acheteur.</t>
  </si>
  <si>
    <t>La livraison et ses frais sont pris en charge par l’acheteur.</t>
  </si>
  <si>
    <t>In the table below, “Error” means that the sum of the quarterly imports reported above exceeds the annual imports reported in Question 1. Therefore, please modify the data if necessary.</t>
  </si>
  <si>
    <t>Dans le tableau ci-dessous, « Erreur » signifie que la somme des importations trimestrielles déclarées ci-dessus dépasse les importations annuelles déclarées à la question 1. Par conséquent, veuillez modifier les données si nécessaire.</t>
  </si>
  <si>
    <t>Select all that apply</t>
  </si>
  <si>
    <t>Sélectionnez toutes les réponses qui s'appliquent</t>
  </si>
  <si>
    <t>Your firm sold the goods, without modification, to members of the public (i.e. a retailer)?</t>
  </si>
  <si>
    <t>Your firm sold the goods, without modification, to other businesses (i.e. a distributor of the goods)?</t>
  </si>
  <si>
    <t>Your firm used the goods for its own purposes and the goods were not sold in any capacity (i.e. an end user of the goods)?</t>
  </si>
  <si>
    <t>Votre entreprise a vendu les marchandises, sans modification, à des particuliers (c'est-à-dire un détaillant) ?</t>
  </si>
  <si>
    <t>Votre entreprise a vendu les marchandises, sans modification, à d'autres entreprises (c'est-à-dire un distributeur des marchandises) ?</t>
  </si>
  <si>
    <t>Your firm used the goods in the production of a different product which you then sold (i.e. an end user of the goods)?</t>
  </si>
  <si>
    <t>Votre entreprise a utilisé les marchandises dans la production d'un produit différent que vous avez ensuite vendu (c'est-à-dire un utilisateur final des marchandises) ?</t>
  </si>
  <si>
    <t>Votre entreprise a utilisé les marchandises à ses propres fins et les marchandises n'ont été vendues sous aucune forme (c'est-à-dire un utilisateur final des marchandises) ?</t>
  </si>
  <si>
    <t>Austria</t>
  </si>
  <si>
    <t>de l'Autriche</t>
  </si>
  <si>
    <t>Jan-March 2025</t>
  </si>
  <si>
    <t>janv.-mars 2025</t>
  </si>
  <si>
    <t>Jan-March 2026</t>
  </si>
  <si>
    <t>janv.-mars 2026</t>
  </si>
  <si>
    <t>March 31,2026</t>
  </si>
  <si>
    <t>Nicole Lalonde</t>
  </si>
  <si>
    <t>nicole.lalonde@tribunal.gc.ca</t>
  </si>
  <si>
    <t>343-574-8274</t>
  </si>
  <si>
    <t>Rhonda Heintzman</t>
  </si>
  <si>
    <t>rhonda.heintzman@tribunal.gc.ca</t>
  </si>
  <si>
    <t>613-558-5983</t>
  </si>
  <si>
    <t>Oil and gas well casing and green tube casing, made of carbon or alloy steel, welded or seamless, heat‑treated or not heat‑treated, regardless of end finish, having an outside diameter from 4 ½ inches to 9 5/8 inches (114.3 mm to 245.2 mm), meeting or supplied to meet American Petroleum Institute (API) specification 5CT or equivalent and/or enhanced proprietary standards, in all grades.</t>
  </si>
  <si>
    <t>Tubage de puits de gaz ou de pétrole et tubage de puits de type tube vert, en acier ordinaire ou en acier allié, soudés ou sans soudures, traités thermiquement ou non traités thermiquement, peu importe le fini, ayant un diamètre extérieur de 4 ½ po à 9 5/8 po (de 114,3 mm à 245,2 mm), respectant ou fournis pour respecter la spécification 5CT de l’American Petroleum Institute (API) ou l’équivalent ou des normes exclusives améliorées, dans tous les grades.</t>
  </si>
  <si>
    <t>7304.29.00.12, 7304.29.00.13, 7304.29.00.14, 7304.29.00.15, 7304.29.00.16, 7304.29.00.17, 7304.29.00.19, 7304.29.00.22, 7304.29.00.23, 7304.29.00.24, 7304.29.00.25, 7304.29.00.26, 7304.29.00.27, 7304.29.00.29, 7306.29.00.12, 7306.29.00.13, 7306.29.00.14, 7306.29.00.15, 7306.29.00.16, 7306.29.00.17, 7306.29.00.19, 7306.29.00.22, 7306.29.00.23, 7306.29.00.24, 7306.29.00.25, 7306.29.00.26, 7306.29.00.27, 7306.29.00.29</t>
  </si>
  <si>
    <t>Seamless</t>
  </si>
  <si>
    <t>Welded</t>
  </si>
  <si>
    <t>Autriche</t>
  </si>
  <si>
    <t>• drill pipe;
• pup joints;
• unattached couplings;
• coupling stock;
• insulated tubing and vacuum insulated tubing; and
• stainless steel casing containing 10.5 percent or more by weight of chromium.</t>
  </si>
  <si>
    <t>• tige de forage;
• fractions de tube;
• raccords non fixés;
• tuyau de raccordement;
• tubulure isolée et tubulure isolée par vide; et
• tubage de puits en acier inoxydable contenant 10,5 % ou plus par poids de chrome.</t>
  </si>
  <si>
    <t>Massive Importation</t>
  </si>
  <si>
    <t>Q4 2024</t>
  </si>
  <si>
    <t>Q1 2025</t>
  </si>
  <si>
    <t>April 2025</t>
  </si>
  <si>
    <t>Q2 2025</t>
  </si>
  <si>
    <t>Q3 2025</t>
  </si>
  <si>
    <t>Q4 2025</t>
  </si>
  <si>
    <t>Q1 2026</t>
  </si>
  <si>
    <t>April 2026</t>
  </si>
  <si>
    <t>September 2025</t>
  </si>
  <si>
    <t>T4 2024</t>
  </si>
  <si>
    <t>T1 2025</t>
  </si>
  <si>
    <t>T2 2025</t>
  </si>
  <si>
    <t>T3 2025</t>
  </si>
  <si>
    <t>T4 2025</t>
  </si>
  <si>
    <t>avril 2025</t>
  </si>
  <si>
    <t>avril 2026</t>
  </si>
  <si>
    <t>septembre 2025</t>
  </si>
  <si>
    <t>Sans soudure</t>
  </si>
  <si>
    <t>Soudé</t>
  </si>
  <si>
    <t>31 mars 2026</t>
  </si>
  <si>
    <t>oil and gas well casing</t>
  </si>
  <si>
    <t>tubages de puits de gaz et de pétrole</t>
  </si>
  <si>
    <t>The following goods are excluded:</t>
  </si>
  <si>
    <t>Chinese Taipei, India, Indonesia, South Korea, Thailand, Türkiye, Ukraine and Vietnam (excluding goods exported from South Korea by Hyundai Steel Company, and goods exported from Türkiye by Borusan Mannesmann Boru Sanayi ve Ticaret A.Ş.)</t>
  </si>
  <si>
    <t>Other countries include:</t>
  </si>
  <si>
    <t xml:space="preserve">Autres pays incluent : </t>
  </si>
  <si>
    <t>December 1, 2024 - November 30, 2025</t>
  </si>
  <si>
    <t>1er décembre 2024 - 30 novembre 2025</t>
  </si>
  <si>
    <t>T1 2026</t>
  </si>
  <si>
    <t>Sans soudures</t>
  </si>
  <si>
    <t>Les marchandises suivantes sont exclues:</t>
  </si>
  <si>
    <t>Mexico</t>
  </si>
  <si>
    <t>Mexique</t>
  </si>
  <si>
    <t>NQ-2026-001</t>
  </si>
  <si>
    <t>Q2 2024</t>
  </si>
  <si>
    <t>T2 2024</t>
  </si>
  <si>
    <t>Q3 2024</t>
  </si>
  <si>
    <t>T3 2024</t>
  </si>
  <si>
    <t>China, Chinese Taipei, India, Indonesia, South Korea, Thailand, Türkiye, Ukraine and Vietnam (excluding goods exported from South Korea by Hyundai Steel Company, and goods exported from Türkiye by Borusan Mannesmann Boru Sanayi ve Ticaret A.Ş.)</t>
  </si>
  <si>
    <t>Benchmark Products 9</t>
  </si>
  <si>
    <t>Benchmark Products 10</t>
  </si>
  <si>
    <t>Autres pays ayant des mesures en vigueur</t>
  </si>
  <si>
    <t>L80 seamless casing (including enhancements) with an API connection</t>
  </si>
  <si>
    <t>L80 welded casing (including enhancements) with an API connection</t>
  </si>
  <si>
    <t>L80 welded casing (including enhancements) with a semi-premium connection</t>
  </si>
  <si>
    <t>L80 seamless casing (including enhancements) with a semi-premium connection</t>
  </si>
  <si>
    <t>P110 seamless casing (including enhancements) with an API connection</t>
  </si>
  <si>
    <t>P110 welded casing (including enhancements) with an API connection</t>
  </si>
  <si>
    <t>P110 seamless casing (including enhancements) with a semi-premium connection</t>
  </si>
  <si>
    <t>P110 welded casing (including enhancements) with a semi-premium connection</t>
  </si>
  <si>
    <t>T95 seamless casing (including enhancements) with a semi-premium connection</t>
  </si>
  <si>
    <t>P110S seamless casing (including enhancements) or similar mild sour service grade with a semi-premium connection</t>
  </si>
  <si>
    <t>de qualité semi-supérieure</t>
  </si>
  <si>
    <t>Provide your firm's imports and sales of imports of the goods from the following countries with measures in force :</t>
  </si>
  <si>
    <t>Fournissez les importations et les ventes d'importations des marchandises importées des pays ayant des mesures en vigueurplace :</t>
  </si>
  <si>
    <t>Other countries with measures in force</t>
  </si>
  <si>
    <t>May 26, 2026</t>
  </si>
  <si>
    <t>26 mai 2026</t>
  </si>
  <si>
    <t>0Titles</t>
  </si>
  <si>
    <t>Country</t>
  </si>
  <si>
    <t>Exporter</t>
  </si>
  <si>
    <t>AUT</t>
  </si>
  <si>
    <t>Trade Level</t>
  </si>
  <si>
    <t>FirmActivities</t>
  </si>
  <si>
    <t>MEX</t>
  </si>
  <si>
    <t>USA</t>
  </si>
  <si>
    <t>Other Countries</t>
  </si>
  <si>
    <t xml:space="preserve">Other countries with measures </t>
  </si>
  <si>
    <t>Sales of Imports in Canada</t>
  </si>
  <si>
    <t>Dist</t>
  </si>
  <si>
    <t>EU</t>
  </si>
  <si>
    <t>ERW</t>
  </si>
  <si>
    <t>Export Sales</t>
  </si>
  <si>
    <t xml:space="preserve">Other Country Names: </t>
  </si>
  <si>
    <t>Seamless Sales</t>
  </si>
  <si>
    <t>Copy</t>
  </si>
  <si>
    <t>Don’t Copy</t>
  </si>
  <si>
    <t>ERW Sales</t>
  </si>
  <si>
    <t>TONNES</t>
  </si>
  <si>
    <t>000 $</t>
  </si>
  <si>
    <t>IMPMKTS DB</t>
  </si>
  <si>
    <t>I-2025</t>
  </si>
  <si>
    <t>I-2026</t>
  </si>
  <si>
    <t>POID/POIS</t>
  </si>
  <si>
    <t>Activity</t>
  </si>
  <si>
    <t>TL</t>
  </si>
  <si>
    <t>VOL</t>
  </si>
  <si>
    <t>VAL/1000</t>
  </si>
  <si>
    <t>UV</t>
  </si>
  <si>
    <t>-</t>
  </si>
  <si>
    <t>DIST</t>
  </si>
  <si>
    <t>Other Countries with measures</t>
  </si>
  <si>
    <t>IMPMKTS MsvImpDB</t>
  </si>
  <si>
    <t>Massive Importation - Volume of Imports</t>
  </si>
  <si>
    <t>Massive Importation - Ending Inventory of Imports</t>
  </si>
  <si>
    <t>Q2 - 2024</t>
  </si>
  <si>
    <t>Q3 - 2024</t>
  </si>
  <si>
    <t>Q4 - 2024</t>
  </si>
  <si>
    <t>Q1 - 2025</t>
  </si>
  <si>
    <t>Q2 - 2025</t>
  </si>
  <si>
    <t>Q3 - 2025</t>
  </si>
  <si>
    <t>Q4 - 2025</t>
  </si>
  <si>
    <t>Q1 - 2026</t>
  </si>
  <si>
    <t>EXP 1</t>
  </si>
  <si>
    <t>EXP 2</t>
  </si>
  <si>
    <t>EXP 3</t>
  </si>
  <si>
    <t>US</t>
  </si>
  <si>
    <t>CHECK</t>
  </si>
  <si>
    <t>LEFT OFF HERE</t>
  </si>
  <si>
    <t>Invent Imp</t>
  </si>
  <si>
    <t>Import seamless sales</t>
  </si>
  <si>
    <t>Import ERW sales</t>
  </si>
  <si>
    <t>Regional DB</t>
  </si>
  <si>
    <t>Total Sales Volume (tonnes)</t>
  </si>
  <si>
    <t>BnchMkDB</t>
  </si>
  <si>
    <t>BMP#</t>
  </si>
  <si>
    <t>IMP</t>
  </si>
  <si>
    <t>BMP 1</t>
  </si>
  <si>
    <t>BMP 2</t>
  </si>
  <si>
    <t>BMP 3</t>
  </si>
  <si>
    <t>BMP 4</t>
  </si>
  <si>
    <t>BMP 5</t>
  </si>
  <si>
    <t>BMP 6</t>
  </si>
  <si>
    <t>BMP 7</t>
  </si>
  <si>
    <t>BMP 8</t>
  </si>
  <si>
    <t>BMP 9</t>
  </si>
  <si>
    <t>BMP 10</t>
  </si>
  <si>
    <t>IMP SLS</t>
  </si>
  <si>
    <t>TopAcntDB</t>
  </si>
  <si>
    <t>TopAcnt#</t>
  </si>
  <si>
    <t xml:space="preserve">Account 1 - </t>
  </si>
  <si>
    <t xml:space="preserve">Account 2 - </t>
  </si>
  <si>
    <t xml:space="preserve">Account 3 - </t>
  </si>
  <si>
    <t xml:space="preserve">Account 4 - </t>
  </si>
  <si>
    <t xml:space="preserve">Account 5 - </t>
  </si>
  <si>
    <t>Respondant</t>
  </si>
  <si>
    <t>Sheet/Comment</t>
  </si>
  <si>
    <t>Question</t>
  </si>
  <si>
    <t>Answer</t>
  </si>
  <si>
    <t>Public</t>
  </si>
  <si>
    <t>Q 2.</t>
  </si>
  <si>
    <t>Q 4.</t>
  </si>
  <si>
    <t>Q 5.</t>
  </si>
  <si>
    <t>Q 6.</t>
  </si>
  <si>
    <t>Q 7.</t>
  </si>
  <si>
    <t>Q 8. ExP</t>
  </si>
  <si>
    <t>Q 8. A</t>
  </si>
  <si>
    <t>Q 8. B</t>
  </si>
  <si>
    <t>Q 8. C</t>
  </si>
  <si>
    <t>Q 9. A</t>
  </si>
  <si>
    <t>Q 9. B</t>
  </si>
  <si>
    <t>Q 9. C</t>
  </si>
  <si>
    <t>Q 10.</t>
  </si>
  <si>
    <t>Q 11.</t>
  </si>
  <si>
    <t>Q 12.</t>
  </si>
  <si>
    <t>Q 13. A</t>
  </si>
  <si>
    <t>Q 13. Exp</t>
  </si>
  <si>
    <t>Q 14.</t>
  </si>
  <si>
    <t>Q 15.</t>
  </si>
  <si>
    <t>Q 16.</t>
  </si>
  <si>
    <t>Q 17.</t>
  </si>
  <si>
    <t>Q 18.</t>
  </si>
  <si>
    <t>Q 19.</t>
  </si>
  <si>
    <t>Q 20.</t>
  </si>
  <si>
    <t>Q 21. Exp</t>
  </si>
  <si>
    <t>Q 21. A</t>
  </si>
  <si>
    <t>Q 21. B</t>
  </si>
  <si>
    <t>Q 21. C</t>
  </si>
  <si>
    <t>Q 22.</t>
  </si>
  <si>
    <t>Q 23.</t>
  </si>
  <si>
    <t>Q 24.</t>
  </si>
  <si>
    <t>Q 25.</t>
  </si>
  <si>
    <t>AddPub</t>
  </si>
  <si>
    <t>Pro</t>
  </si>
  <si>
    <t>Q 1.</t>
  </si>
  <si>
    <t>Q 3. Exp</t>
  </si>
  <si>
    <t>Q 3. A</t>
  </si>
  <si>
    <t>Q 3. B</t>
  </si>
  <si>
    <t>Q 3. C</t>
  </si>
  <si>
    <t>Q 3. D</t>
  </si>
  <si>
    <t>Q 3. E</t>
  </si>
  <si>
    <t>Q 8.</t>
  </si>
  <si>
    <t>Q 9.</t>
  </si>
  <si>
    <t>Invent-Stock</t>
  </si>
  <si>
    <t>Q 2. Exp</t>
  </si>
  <si>
    <t>Q 3.</t>
  </si>
  <si>
    <t>AddPro</t>
  </si>
  <si>
    <t xml:space="preserve">For greater certainty, the product definition does not include oil and gas well tubing but it does include semi-finished casing, which is typically referred to as “green tubes” or occasionally “green pipes”. These green tubes, as they are most commonly referred to in the oil country tubular goods (OCTG) industry, are intermediate or in-process pipes which require additional processing, such as threading, heat treatment or testing, before they can be used as fully finished oil and gas OCTG in end-use applications. This product definition includes green tube casing (i.e. green tubes with the necessary characteristics and intended for finishing into casing) and does not include green tube tubing.
Drill pipe is excluded from the product definition for this investigation. Drill pipe consists of heavy (usually seamless) tubing with high-strength tool joints on either end that is manufactured to API specification 5DP or API specification 7-1 and is used for drilling oil and gas wells.
Pup joints are also excluded from the product definition for this investigation. These products are essentially short lengths of OCTG used for spacing in a drill string, and these are excluded where their length is twelve feet or below (with a three-inch tolerance), as defined in API 5CT.
Unattached couplings as well as coupling stock are also excluded from the product definition for this investigation. Couplings are used to connect two pipes together, allowing for the flow of hydrocarbons and other production fluids from the reservoir to the surface. Casing and tubing couplings come in various sizes, materials, and designs, and are made from coupling stock. Coupling stock is similar to other OCTG except that the pipe walls are thicker and the coupling stock pipe itself is used for further processing into couplings or other float equipment.
Insulated tubing and vacuum insulated tubing (IT/VIT) are also excluded from the product definition for this investigation. IT/VIT are a subset of OCTG that are used for thermal-enhanced oil recovery of extremely viscous crude oils. IT/VIT may also be described as insulated steam injected tubing and oil production tubing, including double-walled tubing, with or without insulation. These IT/VIT products are used in steam injection wells in Steam Assisted Gravity Drainage (SAGD) drilling applications deployed in oil sands assets and also in Cyclic Steam Stimulation (CSS) drilling applications deployed in heavy oil assets.
Finally, stainless steel OCTG is excluded from the product definition for this investigation.
</t>
  </si>
  <si>
    <t>Pour une plus grande certitude, la définition du produit ne comprend pas la tubulure de puits de gaz et de pétrole, mais elle comprend le tubage de puits semi-fini, communément appelé « tubes verts » ou à l’occasion « tuyaux verts ». Ces tubes verts, comme on les appelle le plus souvent dans l’industrie des fournitures tubulaires pour puits de pétrole (FTPP), sont des tuyaux en traitement ou intermédiaires qui nécessitent un traitement supplémentaire, comme le filetage, l’essai ou le traitement thermique, avant de pouvoir être utilisés comme FTPP pour le gaz et le pétrole entièrement finis dans les applications d’utilisation finale. Cette définition de produit comprend un tubage de puits de type tube vert (c. à d. des tubes verts ayant les caractéristiques nécessaires et conçus pour se terminer dans un tubage de puits) et ne comprend pas une tubulure de type tube vert.
Les tiges de forage sont elles aussi exclues de la définition du produit aux fins de la présente enquête. Elles consistent en des tubes lourds (généralement exempts de soudures) et à l’extrémité desquels sont fixés des joints très résistants, fabriqués selon la spécification 5DP ou 7-1 de l’American Petroleum Institute (API), et sont utilisés pour le forage de puits de pétrole et de gaz.
Les fractions de tubes courts sont également exclus de la définition des produits aux fins de la présente enquête. Il s’agit essentiellement de FTPP de courte longueur utilisés pour l’espacement dans un train de tiges de forage, et sont exclus lorsque leur longueur est de 12 pieds ou moins (avec une tolérance de trois pouces), comme défini dans la norme 5CT de l’API.
Les raccords non fixés ainsi que le matériel de couplage sont eux aussi exclus de la définition du produit aux fins de la présente enquête. Les raccords sont utilisés pour relier deux tuyaux, ce qui permet le passage d’hydrocarbures et d’autres liquides de production du réservoir vers la surface. Les raccords de caisson et de tubes sont offerts en divers formats, matériaux et modèles, et sont faits à partir de tuyaux de raccordement. Les tuyaux de raccordement sont semblables à d’autres FTPP, sauf que leur paroi est plus épaisse; ils sont utilisés pour fabriquer des tuyaux ou autres équipements flottants.
La tubulure isolée et la tubulure isolée par vide sont également excluses de la définition du produit aux fins de la présente enquête. Il s’agit d’un sous-ensemble de FTPP servant à la récupération thermique de pétrole brut extrêmement visqueux. Ces tubulures sont également appelées « tubes isolés à injection de vapeur » et « produits de tubage de production pétrolière », lesquels comprennent les tubes à paroi double isolés ou non. Ils sont employés dans des puits d’injection de vapeur, aux fins de drainage par gravité/injection de vapeur, dans des sables bitumineux, et pour fins de stimulation cyclique par injection de vapeur, dans des champs de pétrole lourds.
Enfin, les FTPP en acier inoxydable sont exclues de la définition du produit aux fins de la présente enquête.</t>
  </si>
  <si>
    <t>Use one numbered "Imp-Aus" tab for each exporter your firm imported from. To acquire additional "Imp-Aus" tabs, contact a case analyst identified on the "Intro" tab.</t>
  </si>
  <si>
    <t>Utilisez un onglet numéroté « Imp-Aus » pour chaque exportateur à partir duquel votre entreprise a importé. Pour obtenir des onglets « Imp-Aus » supplémentaires, contactez un analyste de cas identifié dans l'onglet « Intro ».</t>
  </si>
  <si>
    <t>Autres pays (incluant les marchandises exportées de la Corée du Sud par Hyundai Steel Company, et les marchandises exportées de Turquie par Borusan Mannesmann Boru Sanayi ve Ticaret A.Ş.)</t>
  </si>
  <si>
    <t>Chine, Taipei chinois, Inde, Indonésie, Corée du Sud, Thaïlande, Türkiye, Ukraine et Vietnam (excluant les marchandises exportées de la Corée du Sud par Hyundai Steel Company, et les marchandises exportées de Turquie par Borusan Mannesmann Boru Sanayi ve Ticaret A.Ş.)</t>
  </si>
  <si>
    <t>Taipei chinois, Inde, Indonésie,Corée du Sud, Thaïlande, Türkiye, Ukraine et Vietnam (excluant les marchandises exportées de la Corée du Sud par Hyundai Steel Company, et les marchandises exportées de Turquie par Borusan Mannesmann Boru Sanayi ve Ticaret A.Ş.)</t>
  </si>
  <si>
    <r>
      <rPr>
        <b/>
        <sz val="10.5"/>
        <color theme="1"/>
        <rFont val="Calibri"/>
        <family val="2"/>
        <scheme val="minor"/>
      </rPr>
      <t>Other Countries</t>
    </r>
    <r>
      <rPr>
        <sz val="10.5"/>
        <color theme="1"/>
        <rFont val="Calibri"/>
        <family val="2"/>
        <scheme val="minor"/>
      </rPr>
      <t xml:space="preserve"> (</t>
    </r>
    <r>
      <rPr>
        <b/>
        <u/>
        <sz val="10.5"/>
        <color theme="1"/>
        <rFont val="Calibri"/>
        <family val="2"/>
        <scheme val="minor"/>
      </rPr>
      <t>including</t>
    </r>
    <r>
      <rPr>
        <sz val="10.5"/>
        <color theme="1"/>
        <rFont val="Calibri"/>
        <family val="2"/>
        <scheme val="minor"/>
      </rPr>
      <t xml:space="preserve"> goods exported from South Korea by </t>
    </r>
    <r>
      <rPr>
        <b/>
        <sz val="10.5"/>
        <color theme="1"/>
        <rFont val="Calibri"/>
        <family val="2"/>
        <scheme val="minor"/>
      </rPr>
      <t>Hyundai Steel Company</t>
    </r>
    <r>
      <rPr>
        <sz val="10.5"/>
        <color theme="1"/>
        <rFont val="Calibri"/>
        <family val="2"/>
        <scheme val="minor"/>
      </rPr>
      <t xml:space="preserve">, and goods exported from Türkiye by </t>
    </r>
    <r>
      <rPr>
        <b/>
        <sz val="10.5"/>
        <color theme="1"/>
        <rFont val="Calibri"/>
        <family val="2"/>
        <scheme val="minor"/>
      </rPr>
      <t>Borusan Mannesmann Boru Sanayi ve Ticaret A.Ş</t>
    </r>
    <r>
      <rPr>
        <sz val="10.5"/>
        <color theme="1"/>
        <rFont val="Calibri"/>
        <family val="2"/>
        <scheme val="minor"/>
      </rPr>
      <t>.)</t>
    </r>
  </si>
  <si>
    <t xml:space="preserve">Tubage sans soudure L80 (y compris les améliorations) avec raccord API </t>
  </si>
  <si>
    <t>Tubage soudé L80 (y compris les améliorations) avec raccord API</t>
  </si>
  <si>
    <t xml:space="preserve">Tubage sans soudure L80 (y compris les améliorations) avec raccord de qualité semi-supérieure </t>
  </si>
  <si>
    <t xml:space="preserve">Tubage soudé L80 (y compris les améliorations) avec raccord de qualité semi-supérieure </t>
  </si>
  <si>
    <t xml:space="preserve">Tubage sans soudure P110 (y compris les améliorations) avec raccord API </t>
  </si>
  <si>
    <t xml:space="preserve">Tubage soudé P110 (y compris les améliorations) avec raccord API </t>
  </si>
  <si>
    <t>Tubage sans soudure P110 (y compris les améliorations) avec raccord de qualité semi-supérieure</t>
  </si>
  <si>
    <t>Tubage soudé P110 (y compris les améliorations) avec raccord de qualité semi-supérieure</t>
  </si>
  <si>
    <t>Tubage sans soudure T95 (y compris les améliorations) avec raccord semi-supérieure</t>
  </si>
  <si>
    <t>Tubage sans soudure P110S (y compris les améliorations) ou nuance similaire pour milieux modérément acides avec raccord de qualité semi-supérieure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</si>
</sst>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 numFmtId="168" formatCode="[$-F800]dddd\,\ mmmm\ dd\,\ yyyy"/>
    <numFmt numFmtId="169" formatCode="_-* #,##0_-;\-* #,##0_-;_-* &quot;-&quot;??_-;_-@_-"/>
  </numFmts>
  <fonts count="69"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b/>
      <sz val="12"/>
      <color theme="1"/>
      <name val="Calibri"/>
      <family val="2"/>
      <scheme val="minor"/>
    </font>
    <font>
      <sz val="12"/>
      <color rgb="FF000000"/>
      <name val="Calibri"/>
      <family val="2"/>
      <scheme val="minor"/>
    </font>
    <font>
      <b/>
      <sz val="10.5"/>
      <name val="Calibri"/>
      <family val="2"/>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sz val="9"/>
      <color indexed="81"/>
      <name val="Tahoma"/>
      <family val="2"/>
    </font>
    <font>
      <b/>
      <u/>
      <sz val="10.5"/>
      <name val="Calibri"/>
      <family val="2"/>
      <scheme val="minor"/>
    </font>
    <font>
      <b/>
      <sz val="11"/>
      <color theme="1"/>
      <name val="Calibri"/>
      <family val="2"/>
      <scheme val="minor"/>
    </font>
    <font>
      <sz val="9"/>
      <color theme="1"/>
      <name val="Calibri"/>
      <family val="2"/>
      <scheme val="minor"/>
    </font>
    <font>
      <b/>
      <i/>
      <u/>
      <sz val="9"/>
      <color theme="1"/>
      <name val="Calibri"/>
      <family val="2"/>
      <scheme val="minor"/>
    </font>
    <font>
      <b/>
      <sz val="9"/>
      <color theme="1"/>
      <name val="Calibri"/>
      <family val="2"/>
      <scheme val="minor"/>
    </font>
    <font>
      <b/>
      <u/>
      <sz val="9"/>
      <color theme="1"/>
      <name val="Calibri"/>
      <family val="2"/>
      <scheme val="minor"/>
    </font>
    <font>
      <sz val="9"/>
      <color rgb="FFFF0000"/>
      <name val="Calibri"/>
      <family val="2"/>
      <scheme val="minor"/>
    </font>
    <font>
      <sz val="9"/>
      <name val="Calibri"/>
      <family val="2"/>
      <scheme val="minor"/>
    </font>
    <font>
      <b/>
      <sz val="20"/>
      <color theme="1"/>
      <name val="Calibri"/>
      <family val="2"/>
      <scheme val="minor"/>
    </font>
    <font>
      <b/>
      <i/>
      <u/>
      <sz val="11"/>
      <color theme="1"/>
      <name val="Calibri"/>
      <family val="2"/>
      <scheme val="minor"/>
    </font>
    <font>
      <b/>
      <u/>
      <sz val="11"/>
      <color theme="1"/>
      <name val="Calibri"/>
      <family val="2"/>
      <scheme val="minor"/>
    </font>
    <font>
      <b/>
      <u/>
      <sz val="10"/>
      <name val="Calibri"/>
      <family val="2"/>
      <scheme val="minor"/>
    </font>
    <font>
      <u/>
      <sz val="10"/>
      <name val="Calibri"/>
      <family val="2"/>
      <scheme val="minor"/>
    </font>
    <font>
      <b/>
      <u/>
      <sz val="10"/>
      <color theme="1"/>
      <name val="Calibri"/>
      <family val="2"/>
      <scheme val="minor"/>
    </font>
  </fonts>
  <fills count="4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rgb="FFFFFFFF"/>
        <bgColor indexed="64"/>
      </patternFill>
    </fill>
    <fill>
      <patternFill patternType="solid">
        <fgColor theme="8" tint="0.79998168889431442"/>
        <bgColor indexed="64"/>
      </patternFill>
    </fill>
    <fill>
      <patternFill patternType="solid">
        <fgColor rgb="FF92D050"/>
        <bgColor indexed="64"/>
      </patternFill>
    </fill>
    <fill>
      <patternFill patternType="solid">
        <fgColor rgb="FFFFFF00"/>
        <bgColor indexed="64"/>
      </patternFill>
    </fill>
    <fill>
      <patternFill patternType="solid">
        <fgColor theme="4" tint="0.79998168889431442"/>
        <bgColor theme="4" tint="0.79998168889431442"/>
      </patternFill>
    </fill>
    <fill>
      <patternFill patternType="solid">
        <fgColor theme="2"/>
        <bgColor indexed="64"/>
      </patternFill>
    </fill>
  </fills>
  <borders count="86">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auto="1"/>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auto="1"/>
      </right>
      <top style="thin">
        <color indexed="64"/>
      </top>
      <bottom style="thin">
        <color theme="0" tint="-0.499984740745262"/>
      </bottom>
      <diagonal/>
    </border>
    <border>
      <left/>
      <right style="thin">
        <color theme="0" tint="-0.499984740745262"/>
      </right>
      <top style="thin">
        <color auto="1"/>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thin">
        <color theme="4" tint="0.39997558519241921"/>
      </bottom>
      <diagonal/>
    </border>
    <border>
      <left/>
      <right style="dashDot">
        <color indexed="64"/>
      </right>
      <top style="medium">
        <color indexed="64"/>
      </top>
      <bottom style="thin">
        <color theme="4" tint="0.39997558519241921"/>
      </bottom>
      <diagonal/>
    </border>
    <border>
      <left/>
      <right style="medium">
        <color indexed="64"/>
      </right>
      <top style="medium">
        <color indexed="64"/>
      </top>
      <bottom style="thin">
        <color theme="4" tint="0.39997558519241921"/>
      </bottom>
      <diagonal/>
    </border>
    <border>
      <left/>
      <right/>
      <top style="thin">
        <color theme="4" tint="0.39997558519241921"/>
      </top>
      <bottom style="thin">
        <color theme="4" tint="0.39997558519241921"/>
      </bottom>
      <diagonal/>
    </border>
    <border>
      <left/>
      <right style="dashDot">
        <color indexed="64"/>
      </right>
      <top style="thin">
        <color theme="4" tint="0.39997558519241921"/>
      </top>
      <bottom style="thin">
        <color theme="4" tint="0.39997558519241921"/>
      </bottom>
      <diagonal/>
    </border>
    <border>
      <left/>
      <right style="medium">
        <color indexed="64"/>
      </right>
      <top style="thin">
        <color theme="4" tint="0.39997558519241921"/>
      </top>
      <bottom style="thin">
        <color theme="4" tint="0.39997558519241921"/>
      </bottom>
      <diagonal/>
    </border>
    <border>
      <left style="dashDot">
        <color indexed="64"/>
      </left>
      <right style="medium">
        <color indexed="64"/>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style="medium">
        <color indexed="64"/>
      </bottom>
      <diagonal/>
    </border>
    <border>
      <left/>
      <right style="dashDot">
        <color indexed="64"/>
      </right>
      <top style="thin">
        <color theme="4" tint="0.39997558519241921"/>
      </top>
      <bottom style="medium">
        <color indexed="64"/>
      </bottom>
      <diagonal/>
    </border>
    <border>
      <left/>
      <right style="medium">
        <color indexed="64"/>
      </right>
      <top style="thin">
        <color theme="4" tint="0.39997558519241921"/>
      </top>
      <bottom style="medium">
        <color indexed="64"/>
      </bottom>
      <diagonal/>
    </border>
    <border>
      <left style="dashDot">
        <color indexed="64"/>
      </left>
      <right style="medium">
        <color indexed="64"/>
      </right>
      <top style="thin">
        <color theme="4" tint="0.39997558519241921"/>
      </top>
      <bottom style="medium">
        <color indexed="64"/>
      </bottom>
      <diagonal/>
    </border>
  </borders>
  <cellStyleXfs count="25689">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853">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6" fillId="37" borderId="13" xfId="0" applyFont="1" applyFill="1" applyBorder="1" applyAlignment="1">
      <alignment horizontal="centerContinuous" vertical="top" wrapText="1"/>
    </xf>
    <xf numFmtId="0" fontId="6" fillId="37" borderId="17" xfId="0" applyFont="1" applyFill="1" applyBorder="1" applyAlignment="1">
      <alignment horizontal="centerContinuous" vertical="top" wrapText="1"/>
    </xf>
    <xf numFmtId="0" fontId="4" fillId="37" borderId="17" xfId="0" applyFont="1" applyFill="1" applyBorder="1" applyAlignment="1">
      <alignment horizontal="centerContinuous" vertical="top" wrapText="1"/>
    </xf>
    <xf numFmtId="0" fontId="4" fillId="37" borderId="14" xfId="0" applyFont="1" applyFill="1" applyBorder="1" applyAlignment="1">
      <alignment horizontal="centerContinuous" vertical="top" wrapText="1"/>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1" fontId="39" fillId="0" borderId="0" xfId="183" applyNumberFormat="1" applyFont="1" applyFill="1" applyBorder="1" applyAlignment="1" applyProtection="1">
      <alignment horizontal="right" vertical="top" wrapText="1"/>
    </xf>
    <xf numFmtId="1" fontId="39" fillId="0" borderId="8" xfId="183" applyNumberFormat="1" applyFont="1" applyFill="1" applyBorder="1" applyAlignment="1" applyProtection="1">
      <alignment horizontal="right" vertical="top" wrapText="1"/>
    </xf>
    <xf numFmtId="0" fontId="5" fillId="34" borderId="0" xfId="0" applyFont="1" applyFill="1" applyAlignment="1">
      <alignment vertical="top" wrapText="1"/>
    </xf>
    <xf numFmtId="0" fontId="41" fillId="0" borderId="0" xfId="0" applyFont="1" applyFill="1" applyAlignment="1">
      <alignment vertical="top" wrapText="1"/>
    </xf>
    <xf numFmtId="0" fontId="3" fillId="0" borderId="0" xfId="0" applyFont="1" applyFill="1" applyAlignment="1">
      <alignment vertical="top" wrapText="1"/>
    </xf>
    <xf numFmtId="1" fontId="39" fillId="0" borderId="16" xfId="183" applyNumberFormat="1" applyFont="1" applyFill="1" applyBorder="1" applyAlignment="1" applyProtection="1">
      <alignment horizontal="righ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1" fontId="39" fillId="0" borderId="10" xfId="183" applyNumberFormat="1" applyFont="1" applyFill="1" applyBorder="1" applyAlignment="1" applyProtection="1">
      <alignment horizontal="right"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0" borderId="9" xfId="0" applyFont="1" applyBorder="1" applyAlignment="1">
      <alignment horizontal="left" vertical="top" wrapText="1"/>
    </xf>
    <xf numFmtId="0" fontId="5" fillId="34" borderId="0" xfId="0" applyFont="1" applyFill="1" applyAlignment="1">
      <alignment horizontal="left" vertical="top"/>
    </xf>
    <xf numFmtId="0" fontId="4" fillId="0" borderId="7" xfId="0" applyFont="1" applyBorder="1" applyAlignment="1">
      <alignmen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7" fillId="34" borderId="7" xfId="0" applyFont="1" applyFill="1" applyBorder="1" applyAlignment="1">
      <alignment horizontal="center" vertical="top" wrapText="1"/>
    </xf>
    <xf numFmtId="0" fontId="47" fillId="34" borderId="0" xfId="0" applyFont="1" applyFill="1" applyAlignment="1">
      <alignment horizontal="center" vertical="top" wrapText="1"/>
    </xf>
    <xf numFmtId="0" fontId="4" fillId="0" borderId="8" xfId="0" applyFont="1" applyBorder="1" applyAlignment="1">
      <alignment vertical="top" wrapText="1"/>
    </xf>
    <xf numFmtId="0" fontId="37" fillId="0" borderId="0" xfId="0" applyFont="1" applyAlignment="1">
      <alignment horizontal="left" vertical="top" wrapText="1"/>
    </xf>
    <xf numFmtId="0" fontId="37" fillId="0" borderId="0" xfId="0" applyFont="1" applyAlignment="1">
      <alignment horizontal="left" vertical="top" wrapText="1"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16" xfId="0" applyFont="1" applyBorder="1" applyAlignment="1">
      <alignment horizontal="lef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Alignment="1">
      <alignment horizontal="left" vertical="top" wrapText="1"/>
    </xf>
    <xf numFmtId="0" fontId="7" fillId="0" borderId="0" xfId="0" applyFont="1" applyAlignment="1">
      <alignment vertical="top" wrapText="1"/>
    </xf>
    <xf numFmtId="0" fontId="2" fillId="0"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4" fillId="37" borderId="0" xfId="0" applyFont="1" applyFill="1" applyAlignment="1">
      <alignment vertical="top" wrapText="1"/>
    </xf>
    <xf numFmtId="0" fontId="4" fillId="37" borderId="0" xfId="0" applyFont="1" applyFill="1"/>
    <xf numFmtId="0" fontId="50" fillId="0" borderId="0" xfId="0" applyFont="1"/>
    <xf numFmtId="0" fontId="4" fillId="0" borderId="0" xfId="0" applyFont="1" applyAlignment="1">
      <alignment horizontal="left"/>
    </xf>
    <xf numFmtId="0" fontId="4" fillId="37" borderId="0" xfId="0" applyFont="1" applyFill="1" applyAlignment="1">
      <alignment wrapText="1"/>
    </xf>
    <xf numFmtId="0" fontId="50" fillId="37" borderId="0" xfId="0" applyFont="1" applyFill="1" applyAlignment="1">
      <alignment vertical="top"/>
    </xf>
    <xf numFmtId="0" fontId="5" fillId="0" borderId="0" xfId="0" applyFont="1" applyBorder="1" applyAlignment="1">
      <alignment horizontal="left" vertical="top" wrapText="1"/>
    </xf>
    <xf numFmtId="0" fontId="5" fillId="0" borderId="8" xfId="0" applyFont="1" applyBorder="1" applyAlignment="1">
      <alignment vertical="top" wrapText="1"/>
    </xf>
    <xf numFmtId="0" fontId="5" fillId="0" borderId="0" xfId="0" applyFont="1" applyAlignment="1">
      <alignment vertical="top" wrapText="1"/>
    </xf>
    <xf numFmtId="0" fontId="52" fillId="0" borderId="0" xfId="0" applyFont="1" applyAlignment="1">
      <alignment vertical="center"/>
    </xf>
    <xf numFmtId="0" fontId="39" fillId="0" borderId="0" xfId="0" applyFont="1"/>
    <xf numFmtId="0" fontId="52" fillId="40" borderId="0" xfId="0" applyFont="1" applyFill="1" applyAlignment="1">
      <alignment vertical="center"/>
    </xf>
    <xf numFmtId="0" fontId="48" fillId="0" borderId="0" xfId="0" applyFont="1" applyAlignment="1">
      <alignment vertical="top"/>
    </xf>
    <xf numFmtId="0" fontId="5" fillId="0" borderId="7" xfId="0" applyFont="1" applyFill="1" applyBorder="1" applyAlignment="1">
      <alignment horizontal="right" vertical="top" wrapText="1" indent="1"/>
    </xf>
    <xf numFmtId="0" fontId="5" fillId="0" borderId="0" xfId="0" applyFont="1" applyFill="1" applyBorder="1" applyAlignment="1">
      <alignment horizontal="right" vertical="top" wrapText="1" indent="1"/>
    </xf>
    <xf numFmtId="0" fontId="4" fillId="34" borderId="0" xfId="0" applyFont="1" applyFill="1" applyAlignment="1">
      <alignment horizontal="right" vertical="top" indent="1"/>
    </xf>
    <xf numFmtId="0" fontId="4" fillId="34" borderId="7" xfId="0" applyFont="1" applyFill="1" applyBorder="1" applyAlignment="1">
      <alignment horizontal="lef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37" fillId="0" borderId="0" xfId="0" applyFont="1" applyAlignment="1">
      <alignment horizontal="left" vertical="top" indent="1"/>
    </xf>
    <xf numFmtId="0" fontId="5" fillId="0" borderId="7" xfId="0" applyFont="1" applyBorder="1" applyAlignment="1">
      <alignment horizontal="right" vertical="top" wrapText="1" inden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51" fillId="35" borderId="20" xfId="183" applyNumberFormat="1"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5" fillId="0" borderId="20" xfId="0" applyFont="1" applyBorder="1" applyAlignment="1">
      <alignment horizontal="center" vertical="center" wrapText="1"/>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167" fontId="39" fillId="35" borderId="20" xfId="25686" applyNumberFormat="1" applyFont="1" applyFill="1" applyBorder="1" applyAlignment="1" applyProtection="1">
      <alignment horizontal="right" vertical="top" wrapText="1"/>
      <protection locked="0"/>
    </xf>
    <xf numFmtId="0" fontId="6" fillId="0" borderId="16" xfId="0" applyFont="1" applyBorder="1" applyAlignment="1">
      <alignment horizontal="centerContinuous" vertical="top" wrapText="1"/>
    </xf>
    <xf numFmtId="0" fontId="4" fillId="0" borderId="16" xfId="0" applyFont="1" applyBorder="1" applyAlignment="1">
      <alignment horizontal="centerContinuous" vertical="top" wrapText="1"/>
    </xf>
    <xf numFmtId="0" fontId="4" fillId="0" borderId="10" xfId="0" applyFont="1" applyBorder="1" applyAlignment="1">
      <alignment horizontal="centerContinuous" vertical="top" wrapText="1"/>
    </xf>
    <xf numFmtId="0" fontId="49" fillId="0" borderId="7" xfId="0" applyFont="1" applyBorder="1" applyAlignment="1">
      <alignment vertical="top" wrapText="1"/>
    </xf>
    <xf numFmtId="0" fontId="49"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67" fontId="40" fillId="36" borderId="20" xfId="25686" applyNumberFormat="1" applyFont="1" applyFill="1" applyBorder="1" applyAlignment="1" applyProtection="1">
      <alignment horizontal="right" vertical="center" wrapText="1"/>
    </xf>
    <xf numFmtId="167" fontId="40" fillId="36" borderId="23" xfId="25686" applyNumberFormat="1" applyFont="1" applyFill="1" applyBorder="1" applyAlignment="1" applyProtection="1">
      <alignment horizontal="right" vertical="center" wrapText="1"/>
    </xf>
    <xf numFmtId="0" fontId="7" fillId="38" borderId="31" xfId="0" applyFont="1" applyFill="1" applyBorder="1" applyAlignment="1">
      <alignment horizontal="center" vertical="top" wrapText="1"/>
    </xf>
    <xf numFmtId="167" fontId="39" fillId="35" borderId="20" xfId="25686" applyNumberFormat="1" applyFont="1" applyFill="1" applyBorder="1" applyAlignment="1" applyProtection="1">
      <alignment horizontal="right" vertical="center" wrapText="1"/>
      <protection locked="0"/>
    </xf>
    <xf numFmtId="167" fontId="39" fillId="35" borderId="31" xfId="25686" applyNumberFormat="1" applyFont="1" applyFill="1" applyBorder="1" applyAlignment="1" applyProtection="1">
      <alignment horizontal="right" vertical="center" wrapText="1"/>
      <protection locked="0"/>
    </xf>
    <xf numFmtId="0" fontId="5" fillId="0" borderId="0" xfId="0" applyFont="1" applyBorder="1" applyAlignment="1">
      <alignment horizontal="right" vertical="top" indent="1"/>
    </xf>
    <xf numFmtId="0" fontId="5" fillId="0" borderId="0" xfId="0" applyFont="1" applyFill="1" applyBorder="1" applyAlignment="1">
      <alignment horizontal="right" vertical="top" indent="1"/>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14" fontId="4" fillId="0" borderId="0" xfId="0" applyNumberFormat="1" applyFont="1" applyAlignment="1">
      <alignment vertical="top"/>
    </xf>
    <xf numFmtId="0" fontId="4" fillId="0" borderId="0" xfId="0" quotePrefix="1" applyFont="1" applyAlignment="1">
      <alignment vertical="top"/>
    </xf>
    <xf numFmtId="9" fontId="39" fillId="35" borderId="20" xfId="25687" applyFont="1" applyFill="1" applyBorder="1" applyAlignment="1" applyProtection="1">
      <alignment horizontal="center" vertical="center" wrapText="1"/>
      <protection locked="0"/>
    </xf>
    <xf numFmtId="165" fontId="39" fillId="36" borderId="20" xfId="25686" applyNumberFormat="1" applyFont="1" applyFill="1" applyBorder="1" applyAlignment="1" applyProtection="1">
      <alignment horizontal="right" vertical="top"/>
    </xf>
    <xf numFmtId="165" fontId="39" fillId="36" borderId="20" xfId="25686" applyNumberFormat="1" applyFont="1" applyFill="1" applyBorder="1" applyAlignment="1" applyProtection="1">
      <alignment horizontal="right" vertical="center" wrapText="1"/>
    </xf>
    <xf numFmtId="165" fontId="39" fillId="36" borderId="31" xfId="25686" applyNumberFormat="1" applyFont="1" applyFill="1" applyBorder="1" applyAlignment="1" applyProtection="1">
      <alignment horizontal="right" vertical="center" wrapText="1"/>
    </xf>
    <xf numFmtId="0" fontId="4" fillId="0" borderId="0" xfId="0" applyFont="1" applyFill="1" applyAlignment="1">
      <alignment vertical="top"/>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2" fillId="34" borderId="0" xfId="0" applyFont="1" applyFill="1" applyAlignment="1">
      <alignment vertical="top" wrapText="1"/>
    </xf>
    <xf numFmtId="0" fontId="4" fillId="34" borderId="8" xfId="0" applyFont="1" applyFill="1" applyBorder="1" applyAlignment="1">
      <alignment vertical="top" wrapText="1"/>
    </xf>
    <xf numFmtId="0" fontId="7" fillId="0" borderId="0" xfId="0" applyFont="1" applyAlignment="1">
      <alignment vertical="top"/>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center" vertical="top" wrapText="1"/>
      <protection locked="0"/>
    </xf>
    <xf numFmtId="0" fontId="4" fillId="0" borderId="16" xfId="0" applyFont="1" applyFill="1" applyBorder="1"/>
    <xf numFmtId="0" fontId="4" fillId="0" borderId="10" xfId="0" applyFont="1" applyFill="1" applyBorder="1"/>
    <xf numFmtId="15" fontId="4" fillId="0" borderId="0" xfId="0" quotePrefix="1" applyNumberFormat="1" applyFont="1" applyAlignment="1">
      <alignment horizontal="left" vertical="top"/>
    </xf>
    <xf numFmtId="15" fontId="4" fillId="37" borderId="0" xfId="0" quotePrefix="1" applyNumberFormat="1" applyFont="1" applyFill="1" applyAlignment="1">
      <alignment horizontal="left" vertical="top"/>
    </xf>
    <xf numFmtId="0" fontId="4" fillId="37" borderId="0" xfId="0" quotePrefix="1" applyNumberFormat="1" applyFont="1" applyFill="1" applyAlignment="1">
      <alignment horizontal="left" vertical="top"/>
    </xf>
    <xf numFmtId="14" fontId="4" fillId="37" borderId="0" xfId="0" quotePrefix="1" applyNumberFormat="1" applyFont="1" applyFill="1" applyAlignment="1">
      <alignment horizontal="left" vertical="top"/>
    </xf>
    <xf numFmtId="0" fontId="48" fillId="37" borderId="0" xfId="0" applyFont="1" applyFill="1" applyAlignment="1">
      <alignment vertical="top"/>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7" fillId="38" borderId="20"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0" xfId="0" applyFont="1" applyBorder="1" applyAlignment="1">
      <alignment horizontal="left" vertical="top"/>
    </xf>
    <xf numFmtId="167" fontId="39" fillId="36" borderId="20" xfId="25686" applyNumberFormat="1" applyFont="1" applyFill="1" applyBorder="1" applyAlignment="1" applyProtection="1">
      <alignment horizontal="right" vertical="center"/>
    </xf>
    <xf numFmtId="167" fontId="39" fillId="35" borderId="20" xfId="25686" applyNumberFormat="1" applyFont="1" applyFill="1" applyBorder="1" applyAlignment="1" applyProtection="1">
      <alignment horizontal="right" vertical="center"/>
      <protection locked="0"/>
    </xf>
    <xf numFmtId="167" fontId="39" fillId="35" borderId="20" xfId="25686" applyNumberFormat="1" applyFont="1" applyFill="1" applyBorder="1" applyAlignment="1" applyProtection="1">
      <alignment vertical="center"/>
      <protection locked="0"/>
    </xf>
    <xf numFmtId="167" fontId="39" fillId="36" borderId="20" xfId="25686" applyNumberFormat="1" applyFont="1" applyFill="1" applyBorder="1" applyAlignment="1" applyProtection="1">
      <alignment vertical="center"/>
    </xf>
    <xf numFmtId="167" fontId="39" fillId="36" borderId="46" xfId="25686" applyNumberFormat="1" applyFont="1" applyFill="1" applyBorder="1" applyAlignment="1" applyProtection="1">
      <alignment vertical="center"/>
    </xf>
    <xf numFmtId="167" fontId="39" fillId="35" borderId="48" xfId="25686" applyNumberFormat="1" applyFont="1" applyFill="1" applyBorder="1" applyAlignment="1" applyProtection="1">
      <alignment vertical="center"/>
      <protection locked="0"/>
    </xf>
    <xf numFmtId="167" fontId="39" fillId="35" borderId="23" xfId="25686" applyNumberFormat="1" applyFont="1" applyFill="1" applyBorder="1" applyAlignment="1" applyProtection="1">
      <alignment vertical="center"/>
      <protection locked="0"/>
    </xf>
    <xf numFmtId="167" fontId="39" fillId="36" borderId="20" xfId="183" applyNumberFormat="1" applyFont="1" applyFill="1" applyBorder="1" applyAlignment="1" applyProtection="1">
      <alignment horizontal="center" vertical="center"/>
    </xf>
    <xf numFmtId="167" fontId="39" fillId="35" borderId="20" xfId="25686" applyNumberFormat="1" applyFont="1" applyFill="1" applyBorder="1" applyAlignment="1" applyProtection="1">
      <alignment horizontal="center" vertical="top"/>
      <protection locked="0"/>
    </xf>
    <xf numFmtId="167" fontId="39" fillId="35" borderId="20" xfId="25686" applyNumberFormat="1" applyFont="1" applyFill="1" applyBorder="1" applyAlignment="1" applyProtection="1">
      <alignment vertical="top"/>
      <protection locked="0"/>
    </xf>
    <xf numFmtId="167" fontId="39" fillId="36" borderId="20" xfId="25686" applyNumberFormat="1" applyFont="1" applyFill="1" applyBorder="1" applyAlignment="1" applyProtection="1">
      <alignment vertical="top" wrapText="1"/>
    </xf>
    <xf numFmtId="167" fontId="39" fillId="36" borderId="22" xfId="183" applyNumberFormat="1" applyFont="1" applyFill="1" applyBorder="1" applyAlignment="1" applyProtection="1">
      <alignment horizontal="center" vertical="center"/>
    </xf>
    <xf numFmtId="0" fontId="4" fillId="34" borderId="7" xfId="0" applyFont="1" applyFill="1" applyBorder="1" applyAlignment="1">
      <alignment vertical="top" wrapText="1"/>
    </xf>
    <xf numFmtId="0" fontId="4" fillId="34" borderId="0" xfId="0" applyFont="1" applyFill="1" applyBorder="1" applyAlignment="1">
      <alignment vertical="top" wrapText="1"/>
    </xf>
    <xf numFmtId="0" fontId="6" fillId="0" borderId="0" xfId="0" applyFont="1" applyBorder="1" applyAlignment="1">
      <alignment horizontal="center" vertical="top"/>
    </xf>
    <xf numFmtId="0" fontId="3" fillId="0" borderId="7" xfId="0" applyFont="1" applyBorder="1" applyAlignment="1">
      <alignment vertical="top" wrapText="1"/>
    </xf>
    <xf numFmtId="0" fontId="3" fillId="0" borderId="0" xfId="0" applyFont="1" applyBorder="1" applyAlignment="1">
      <alignment vertical="top" wrapText="1"/>
    </xf>
    <xf numFmtId="49" fontId="4" fillId="34" borderId="0" xfId="0" applyNumberFormat="1" applyFont="1" applyFill="1" applyBorder="1" applyAlignment="1">
      <alignment vertical="top" wrapText="1"/>
    </xf>
    <xf numFmtId="49" fontId="4" fillId="34" borderId="8" xfId="0" applyNumberFormat="1" applyFont="1" applyFill="1" applyBorder="1" applyAlignment="1">
      <alignment vertical="top" wrapText="1"/>
    </xf>
    <xf numFmtId="0" fontId="5" fillId="0" borderId="0" xfId="0" applyFont="1" applyBorder="1" applyAlignment="1">
      <alignment vertical="top"/>
    </xf>
    <xf numFmtId="1" fontId="4" fillId="0" borderId="0" xfId="0" applyNumberFormat="1" applyFont="1" applyAlignment="1">
      <alignment horizontal="left" vertical="top"/>
    </xf>
    <xf numFmtId="0" fontId="4" fillId="0" borderId="0" xfId="0" applyFont="1" applyAlignment="1">
      <alignment vertical="top" wrapText="1"/>
    </xf>
    <xf numFmtId="0" fontId="4" fillId="0" borderId="8" xfId="0" applyFont="1" applyBorder="1" applyAlignment="1">
      <alignment vertical="top" wrapText="1"/>
    </xf>
    <xf numFmtId="0" fontId="7" fillId="0" borderId="0" xfId="0" applyFont="1" applyBorder="1" applyAlignment="1">
      <alignment horizontal="center" vertical="top"/>
    </xf>
    <xf numFmtId="0" fontId="7" fillId="34" borderId="0" xfId="0" applyFont="1" applyFill="1" applyAlignment="1">
      <alignment horizontal="center" vertical="center"/>
    </xf>
    <xf numFmtId="0" fontId="4" fillId="0" borderId="8" xfId="0" applyFont="1" applyBorder="1" applyAlignment="1">
      <alignment vertical="top" wrapText="1"/>
    </xf>
    <xf numFmtId="0" fontId="4" fillId="0" borderId="0" xfId="0" applyFont="1" applyAlignment="1">
      <alignment vertical="center"/>
    </xf>
    <xf numFmtId="0" fontId="7" fillId="0" borderId="0" xfId="0" applyFont="1" applyAlignment="1">
      <alignment vertical="top"/>
    </xf>
    <xf numFmtId="0" fontId="7" fillId="38" borderId="20" xfId="0" applyFont="1" applyFill="1" applyBorder="1" applyAlignment="1">
      <alignment horizontal="center" vertical="top" wrapText="1"/>
    </xf>
    <xf numFmtId="168" fontId="4" fillId="0" borderId="0" xfId="0" quotePrefix="1" applyNumberFormat="1" applyFont="1" applyAlignment="1">
      <alignment vertical="top"/>
    </xf>
    <xf numFmtId="15" fontId="4" fillId="0" borderId="0" xfId="0" quotePrefix="1" applyNumberFormat="1" applyFont="1"/>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0" xfId="0" applyFont="1" applyBorder="1" applyAlignment="1">
      <alignment horizontal="right" vertical="top" indent="1"/>
    </xf>
    <xf numFmtId="0" fontId="5" fillId="0" borderId="20" xfId="0" applyFont="1" applyBorder="1" applyAlignment="1">
      <alignment horizontal="center" vertical="center" wrapText="1"/>
    </xf>
    <xf numFmtId="0" fontId="4" fillId="0" borderId="0" xfId="0" applyFont="1" applyFill="1" applyBorder="1"/>
    <xf numFmtId="0" fontId="4" fillId="0" borderId="8" xfId="0" applyFont="1" applyFill="1" applyBorder="1"/>
    <xf numFmtId="0" fontId="7" fillId="38" borderId="20" xfId="0" applyFont="1" applyFill="1" applyBorder="1" applyAlignment="1">
      <alignment horizontal="center" vertical="center" wrapText="1"/>
    </xf>
    <xf numFmtId="0" fontId="55" fillId="0" borderId="0" xfId="0" applyFont="1" applyFill="1" applyBorder="1" applyAlignment="1">
      <alignment horizontal="right" vertical="top" indent="1"/>
    </xf>
    <xf numFmtId="0" fontId="55" fillId="0" borderId="0" xfId="0" applyFont="1" applyBorder="1" applyAlignment="1">
      <alignment horizontal="right" vertical="top" indent="1"/>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20" xfId="0" applyFont="1" applyBorder="1" applyAlignment="1">
      <alignment horizontal="center" vertical="center" wrapText="1"/>
    </xf>
    <xf numFmtId="17" fontId="4" fillId="0" borderId="0" xfId="0" quotePrefix="1" applyNumberFormat="1" applyFont="1" applyAlignment="1">
      <alignment vertical="top"/>
    </xf>
    <xf numFmtId="0" fontId="5" fillId="0" borderId="8" xfId="0" applyFont="1" applyFill="1" applyBorder="1" applyAlignment="1">
      <alignment vertical="top" wrapText="1"/>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0" xfId="0" applyFont="1" applyBorder="1" applyAlignment="1">
      <alignment horizontal="right" vertical="top" indent="1"/>
    </xf>
    <xf numFmtId="0" fontId="5" fillId="0" borderId="0" xfId="0" applyFont="1" applyFill="1" applyBorder="1" applyAlignment="1">
      <alignment horizontal="right" vertical="top" indent="1"/>
    </xf>
    <xf numFmtId="0" fontId="5" fillId="0" borderId="20" xfId="0" applyFont="1" applyBorder="1" applyAlignment="1">
      <alignment horizontal="center"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5" fillId="0" borderId="0" xfId="0" applyFont="1" applyFill="1" applyBorder="1" applyAlignment="1">
      <alignment horizontal="left" vertical="center" wrapText="1"/>
    </xf>
    <xf numFmtId="0" fontId="7" fillId="38" borderId="20" xfId="0" applyFont="1" applyFill="1" applyBorder="1" applyAlignment="1">
      <alignment horizontal="center" vertical="center" wrapText="1"/>
    </xf>
    <xf numFmtId="0" fontId="5" fillId="0" borderId="0" xfId="0" applyFont="1" applyFill="1" applyBorder="1" applyAlignment="1">
      <alignment horizontal="lef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36" fillId="0" borderId="0" xfId="0" applyFont="1" applyFill="1" applyBorder="1" applyAlignment="1">
      <alignment vertical="top" wrapText="1"/>
    </xf>
    <xf numFmtId="0" fontId="6" fillId="0" borderId="0" xfId="0" applyFont="1" applyFill="1" applyBorder="1" applyAlignment="1">
      <alignment horizontal="centerContinuous" vertical="top" wrapText="1"/>
    </xf>
    <xf numFmtId="0" fontId="4" fillId="0" borderId="0" xfId="0" applyFont="1" applyFill="1" applyBorder="1" applyAlignment="1">
      <alignment horizontal="centerContinuous" vertical="top" wrapText="1"/>
    </xf>
    <xf numFmtId="0" fontId="49" fillId="0" borderId="0" xfId="0" applyFont="1" applyFill="1" applyBorder="1" applyAlignment="1">
      <alignment vertical="top" wrapText="1"/>
    </xf>
    <xf numFmtId="0" fontId="4" fillId="0" borderId="0" xfId="0" applyFont="1" applyFill="1" applyBorder="1" applyAlignment="1">
      <alignment vertical="top"/>
    </xf>
    <xf numFmtId="0" fontId="5" fillId="0" borderId="0" xfId="0" applyFont="1" applyFill="1" applyBorder="1" applyAlignment="1">
      <alignment horizontal="left" vertical="top"/>
    </xf>
    <xf numFmtId="0" fontId="6" fillId="0" borderId="0" xfId="0" applyFont="1" applyFill="1" applyBorder="1" applyAlignment="1">
      <alignment horizontal="center" vertical="top"/>
    </xf>
    <xf numFmtId="0" fontId="4" fillId="0" borderId="0" xfId="0" applyFont="1" applyFill="1" applyBorder="1" applyAlignment="1">
      <alignment vertical="top" wrapText="1"/>
    </xf>
    <xf numFmtId="0" fontId="5" fillId="0" borderId="0" xfId="0" applyFont="1" applyFill="1" applyBorder="1" applyAlignment="1">
      <alignment vertical="top"/>
    </xf>
    <xf numFmtId="0" fontId="3" fillId="0" borderId="0" xfId="0" applyFont="1" applyFill="1" applyBorder="1" applyAlignment="1">
      <alignment vertical="top" wrapText="1"/>
    </xf>
    <xf numFmtId="49" fontId="4" fillId="0" borderId="0" xfId="0" applyNumberFormat="1" applyFont="1" applyFill="1" applyBorder="1" applyAlignment="1">
      <alignment vertical="top" wrapText="1"/>
    </xf>
    <xf numFmtId="0" fontId="4" fillId="0" borderId="0" xfId="0" applyFont="1" applyFill="1" applyBorder="1" applyAlignment="1">
      <alignment wrapText="1"/>
    </xf>
    <xf numFmtId="0" fontId="2" fillId="0" borderId="0" xfId="0" applyFont="1" applyFill="1" applyBorder="1" applyAlignment="1">
      <alignment vertical="top" wrapText="1"/>
    </xf>
    <xf numFmtId="0" fontId="6" fillId="0" borderId="0" xfId="0" applyFont="1" applyFill="1" applyBorder="1" applyAlignment="1">
      <alignment horizontal="left" vertical="top" wrapText="1"/>
    </xf>
    <xf numFmtId="0" fontId="7" fillId="0" borderId="0" xfId="0" applyFont="1" applyFill="1" applyBorder="1" applyAlignment="1">
      <alignment vertical="top"/>
    </xf>
    <xf numFmtId="0" fontId="7" fillId="0" borderId="0" xfId="0" applyFont="1" applyFill="1" applyBorder="1" applyAlignment="1">
      <alignment vertical="top" wrapText="1"/>
    </xf>
    <xf numFmtId="0" fontId="36" fillId="0" borderId="0" xfId="0" applyFont="1" applyFill="1" applyBorder="1" applyAlignment="1">
      <alignment horizontal="left" vertical="top"/>
    </xf>
    <xf numFmtId="0" fontId="38" fillId="0" borderId="0" xfId="0" applyFont="1" applyFill="1" applyBorder="1" applyAlignment="1">
      <alignment vertical="top"/>
    </xf>
    <xf numFmtId="0" fontId="36" fillId="0" borderId="0" xfId="0" applyFont="1" applyFill="1" applyBorder="1" applyAlignment="1">
      <alignment vertical="top"/>
    </xf>
    <xf numFmtId="0" fontId="37" fillId="0" borderId="0" xfId="0" applyFont="1" applyFill="1" applyBorder="1" applyAlignment="1">
      <alignment vertical="top"/>
    </xf>
    <xf numFmtId="0" fontId="3" fillId="0" borderId="0" xfId="0" applyFont="1" applyFill="1" applyBorder="1" applyAlignment="1">
      <alignment vertical="top"/>
    </xf>
    <xf numFmtId="0" fontId="41" fillId="0" borderId="0" xfId="0" applyFont="1" applyFill="1" applyBorder="1" applyAlignment="1">
      <alignment horizontal="left" vertical="top" wrapText="1"/>
    </xf>
    <xf numFmtId="0" fontId="52" fillId="0" borderId="0" xfId="0" applyFont="1" applyFill="1" applyBorder="1" applyAlignment="1">
      <alignment vertical="center"/>
    </xf>
    <xf numFmtId="0" fontId="5" fillId="0" borderId="0" xfId="0" applyFont="1" applyFill="1" applyBorder="1" applyAlignment="1">
      <alignment vertical="top" wrapText="1"/>
    </xf>
    <xf numFmtId="0" fontId="7" fillId="0" borderId="0" xfId="0" applyFont="1" applyFill="1" applyBorder="1" applyAlignment="1">
      <alignment horizontal="center" vertical="center" wrapText="1"/>
    </xf>
    <xf numFmtId="0" fontId="41" fillId="0" borderId="0" xfId="0" applyFont="1" applyFill="1" applyBorder="1" applyAlignment="1">
      <alignment vertical="top" wrapText="1"/>
    </xf>
    <xf numFmtId="0" fontId="6" fillId="0" borderId="0" xfId="0" applyFont="1" applyFill="1" applyBorder="1" applyAlignment="1">
      <alignment horizontal="left" vertical="top"/>
    </xf>
    <xf numFmtId="167" fontId="39" fillId="0" borderId="0" xfId="25686" applyNumberFormat="1" applyFont="1" applyFill="1" applyBorder="1" applyAlignment="1" applyProtection="1">
      <alignment horizontal="right" vertical="top"/>
      <protection locked="0"/>
    </xf>
    <xf numFmtId="167" fontId="39" fillId="0" borderId="0" xfId="25686" applyNumberFormat="1" applyFont="1" applyFill="1" applyBorder="1" applyAlignment="1" applyProtection="1">
      <alignment horizontal="right" vertical="top" wrapText="1"/>
      <protection locked="0"/>
    </xf>
    <xf numFmtId="165" fontId="39" fillId="0" borderId="0" xfId="25686" applyNumberFormat="1" applyFont="1" applyFill="1" applyBorder="1" applyAlignment="1" applyProtection="1">
      <alignment horizontal="right" vertical="top"/>
    </xf>
    <xf numFmtId="167" fontId="40" fillId="0" borderId="0" xfId="25686" applyNumberFormat="1" applyFont="1" applyFill="1" applyBorder="1" applyAlignment="1" applyProtection="1">
      <alignment horizontal="right" vertical="center" wrapText="1"/>
    </xf>
    <xf numFmtId="0" fontId="4" fillId="0" borderId="0" xfId="0" applyFont="1" applyFill="1" applyBorder="1" applyAlignment="1">
      <alignment horizontal="left" vertical="top" wrapText="1"/>
    </xf>
    <xf numFmtId="0" fontId="4" fillId="0" borderId="0" xfId="0" applyFont="1" applyFill="1" applyBorder="1" applyAlignment="1">
      <alignment horizontal="left" vertical="top"/>
    </xf>
    <xf numFmtId="0" fontId="7" fillId="0" borderId="0" xfId="0" applyFont="1" applyFill="1" applyBorder="1" applyAlignment="1">
      <alignment horizontal="center" vertical="top" wrapText="1"/>
    </xf>
    <xf numFmtId="167" fontId="39" fillId="0" borderId="0" xfId="25686" applyNumberFormat="1" applyFont="1" applyFill="1" applyBorder="1" applyAlignment="1" applyProtection="1">
      <alignment horizontal="right" vertical="center" wrapText="1"/>
      <protection locked="0"/>
    </xf>
    <xf numFmtId="165" fontId="39" fillId="0" borderId="0" xfId="25686" applyNumberFormat="1" applyFont="1" applyFill="1" applyBorder="1" applyAlignment="1" applyProtection="1">
      <alignment horizontal="right" vertical="center" wrapText="1"/>
    </xf>
    <xf numFmtId="167" fontId="39" fillId="0" borderId="0" xfId="183" applyNumberFormat="1" applyFont="1" applyFill="1" applyBorder="1" applyAlignment="1" applyProtection="1">
      <alignment horizontal="center" vertical="center"/>
    </xf>
    <xf numFmtId="0" fontId="2" fillId="0" borderId="0" xfId="0" applyFont="1" applyFill="1" applyBorder="1" applyAlignment="1">
      <alignment horizontal="left" vertical="top" wrapText="1"/>
    </xf>
    <xf numFmtId="49" fontId="4" fillId="0" borderId="0" xfId="0" applyNumberFormat="1" applyFont="1" applyFill="1" applyBorder="1" applyAlignment="1">
      <alignment vertical="top"/>
    </xf>
    <xf numFmtId="0" fontId="5" fillId="0" borderId="0" xfId="0" applyFont="1" applyFill="1" applyBorder="1" applyAlignment="1">
      <alignment horizontal="center" vertical="center" wrapText="1"/>
    </xf>
    <xf numFmtId="167" fontId="39" fillId="0" borderId="0" xfId="25686" applyNumberFormat="1" applyFont="1" applyFill="1" applyBorder="1" applyAlignment="1" applyProtection="1">
      <alignment horizontal="right" vertical="center"/>
      <protection locked="0"/>
    </xf>
    <xf numFmtId="0" fontId="2" fillId="0" borderId="0" xfId="0" applyFont="1" applyFill="1" applyBorder="1" applyAlignment="1">
      <alignment wrapText="1"/>
    </xf>
    <xf numFmtId="0" fontId="4" fillId="35" borderId="20" xfId="0" applyFont="1" applyFill="1" applyBorder="1" applyAlignment="1" applyProtection="1">
      <alignment horizontal="center"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20" xfId="0" applyFont="1" applyBorder="1" applyAlignment="1">
      <alignment horizontal="center" vertical="center" wrapText="1"/>
    </xf>
    <xf numFmtId="0" fontId="57" fillId="0" borderId="0" xfId="0" applyFont="1"/>
    <xf numFmtId="0" fontId="58" fillId="0" borderId="62" xfId="0" applyFont="1" applyBorder="1"/>
    <xf numFmtId="0" fontId="58" fillId="0" borderId="63" xfId="0" applyFont="1" applyBorder="1"/>
    <xf numFmtId="0" fontId="57" fillId="0" borderId="60" xfId="0" applyFont="1" applyBorder="1"/>
    <xf numFmtId="0" fontId="57" fillId="0" borderId="61" xfId="0" applyFont="1" applyBorder="1"/>
    <xf numFmtId="0" fontId="59" fillId="0" borderId="64" xfId="0" applyFont="1" applyBorder="1"/>
    <xf numFmtId="0" fontId="57" fillId="0" borderId="65" xfId="0" applyFont="1" applyBorder="1"/>
    <xf numFmtId="0" fontId="57" fillId="0" borderId="66" xfId="0" applyFont="1" applyBorder="1"/>
    <xf numFmtId="0" fontId="59" fillId="0" borderId="67" xfId="0" applyFont="1" applyBorder="1"/>
    <xf numFmtId="0" fontId="57" fillId="0" borderId="62" xfId="0" applyFont="1" applyBorder="1"/>
    <xf numFmtId="0" fontId="57" fillId="0" borderId="63" xfId="0" applyFont="1" applyBorder="1"/>
    <xf numFmtId="0" fontId="59" fillId="0" borderId="68" xfId="0" applyFont="1" applyBorder="1"/>
    <xf numFmtId="0" fontId="58" fillId="0" borderId="0" xfId="0" applyFont="1"/>
    <xf numFmtId="0" fontId="60" fillId="0" borderId="0" xfId="0" applyFont="1" applyAlignment="1">
      <alignment wrapText="1"/>
    </xf>
    <xf numFmtId="0" fontId="59" fillId="42" borderId="60" xfId="0" applyFont="1" applyFill="1" applyBorder="1"/>
    <xf numFmtId="0" fontId="58" fillId="0" borderId="70" xfId="0" applyFont="1" applyBorder="1" applyAlignment="1">
      <alignment horizontal="center"/>
    </xf>
    <xf numFmtId="0" fontId="59" fillId="42" borderId="70" xfId="0" applyFont="1" applyFill="1" applyBorder="1" applyAlignment="1">
      <alignment horizontal="right" wrapText="1"/>
    </xf>
    <xf numFmtId="0" fontId="59" fillId="42" borderId="71" xfId="0" applyFont="1" applyFill="1" applyBorder="1" applyAlignment="1">
      <alignment horizontal="right" wrapText="1"/>
    </xf>
    <xf numFmtId="0" fontId="57" fillId="0" borderId="0" xfId="0" applyFont="1" applyAlignment="1">
      <alignment horizontal="left" vertical="top"/>
    </xf>
    <xf numFmtId="0" fontId="57" fillId="0" borderId="72" xfId="0" applyFont="1" applyBorder="1"/>
    <xf numFmtId="0" fontId="58" fillId="0" borderId="72" xfId="0" applyFont="1" applyBorder="1" applyAlignment="1">
      <alignment horizontal="center"/>
    </xf>
    <xf numFmtId="1" fontId="57" fillId="0" borderId="72" xfId="0" applyNumberFormat="1" applyFont="1" applyBorder="1" applyAlignment="1">
      <alignment horizontal="center" wrapText="1"/>
    </xf>
    <xf numFmtId="1" fontId="57" fillId="0" borderId="61" xfId="0" applyNumberFormat="1" applyFont="1" applyBorder="1" applyAlignment="1">
      <alignment horizontal="center" wrapText="1"/>
    </xf>
    <xf numFmtId="0" fontId="58" fillId="0" borderId="0" xfId="0" applyFont="1" applyAlignment="1">
      <alignment horizontal="center"/>
    </xf>
    <xf numFmtId="1" fontId="57" fillId="0" borderId="0" xfId="0" applyNumberFormat="1" applyFont="1" applyAlignment="1">
      <alignment horizontal="center" wrapText="1"/>
    </xf>
    <xf numFmtId="1" fontId="57" fillId="0" borderId="66" xfId="0" applyNumberFormat="1" applyFont="1" applyBorder="1" applyAlignment="1">
      <alignment horizontal="center" wrapText="1"/>
    </xf>
    <xf numFmtId="0" fontId="61" fillId="0" borderId="0" xfId="0" applyFont="1"/>
    <xf numFmtId="0" fontId="57" fillId="0" borderId="0" xfId="0" applyFont="1" applyAlignment="1">
      <alignment vertical="top" wrapText="1"/>
    </xf>
    <xf numFmtId="169" fontId="57" fillId="0" borderId="0" xfId="25688" applyNumberFormat="1" applyFont="1" applyBorder="1" applyAlignment="1">
      <alignment horizontal="center"/>
    </xf>
    <xf numFmtId="169" fontId="57" fillId="0" borderId="66" xfId="25688" applyNumberFormat="1" applyFont="1" applyBorder="1" applyAlignment="1">
      <alignment horizontal="center"/>
    </xf>
    <xf numFmtId="0" fontId="57" fillId="0" borderId="73" xfId="0" applyFont="1" applyBorder="1"/>
    <xf numFmtId="169" fontId="62" fillId="0" borderId="73" xfId="25688" applyNumberFormat="1" applyFont="1" applyBorder="1" applyAlignment="1">
      <alignment horizontal="center"/>
    </xf>
    <xf numFmtId="169" fontId="62" fillId="0" borderId="63" xfId="25688" applyNumberFormat="1" applyFont="1" applyBorder="1" applyAlignment="1">
      <alignment horizontal="center"/>
    </xf>
    <xf numFmtId="0" fontId="59" fillId="42" borderId="67" xfId="0" applyFont="1" applyFill="1" applyBorder="1"/>
    <xf numFmtId="0" fontId="59" fillId="42" borderId="0" xfId="0" applyFont="1" applyFill="1"/>
    <xf numFmtId="0" fontId="57" fillId="0" borderId="68" xfId="0" applyFont="1" applyBorder="1"/>
    <xf numFmtId="49" fontId="57" fillId="0" borderId="0" xfId="0" applyNumberFormat="1" applyFont="1"/>
    <xf numFmtId="49" fontId="57" fillId="0" borderId="0" xfId="0" applyNumberFormat="1" applyFont="1" applyAlignment="1">
      <alignment wrapText="1"/>
    </xf>
    <xf numFmtId="0" fontId="59" fillId="43" borderId="70" xfId="0" applyFont="1" applyFill="1" applyBorder="1"/>
    <xf numFmtId="0" fontId="59" fillId="43" borderId="71" xfId="0" applyFont="1" applyFill="1" applyBorder="1"/>
    <xf numFmtId="0" fontId="60" fillId="0" borderId="73" xfId="0" applyFont="1" applyBorder="1"/>
    <xf numFmtId="0" fontId="60" fillId="0" borderId="0" xfId="0" applyFont="1"/>
    <xf numFmtId="0" fontId="60" fillId="0" borderId="0" xfId="0" applyFont="1" applyAlignment="1">
      <alignment horizontal="center"/>
    </xf>
    <xf numFmtId="0" fontId="58" fillId="0" borderId="72" xfId="0" applyFont="1" applyBorder="1"/>
    <xf numFmtId="0" fontId="60" fillId="0" borderId="0" xfId="0" applyFont="1" applyAlignment="1">
      <alignment horizontal="right" wrapText="1"/>
    </xf>
    <xf numFmtId="0" fontId="60" fillId="0" borderId="72" xfId="0" applyFont="1" applyBorder="1" applyAlignment="1">
      <alignment horizontal="right" wrapText="1"/>
    </xf>
    <xf numFmtId="0" fontId="60" fillId="0" borderId="61" xfId="0" applyFont="1" applyBorder="1" applyAlignment="1">
      <alignment horizontal="right" wrapText="1"/>
    </xf>
    <xf numFmtId="0" fontId="59" fillId="42" borderId="64" xfId="0" applyFont="1" applyFill="1" applyBorder="1"/>
    <xf numFmtId="0" fontId="58" fillId="0" borderId="73" xfId="0" applyFont="1" applyBorder="1"/>
    <xf numFmtId="0" fontId="58" fillId="0" borderId="73" xfId="0" applyFont="1" applyBorder="1" applyAlignment="1">
      <alignment horizontal="center"/>
    </xf>
    <xf numFmtId="0" fontId="57" fillId="42" borderId="73" xfId="0" applyFont="1" applyFill="1" applyBorder="1"/>
    <xf numFmtId="0" fontId="57" fillId="42" borderId="63" xfId="0" applyFont="1" applyFill="1" applyBorder="1"/>
    <xf numFmtId="0" fontId="57" fillId="43" borderId="73" xfId="0" applyFont="1" applyFill="1" applyBorder="1"/>
    <xf numFmtId="0" fontId="57" fillId="43" borderId="63" xfId="0" applyFont="1" applyFill="1" applyBorder="1"/>
    <xf numFmtId="0" fontId="59" fillId="0" borderId="67" xfId="0" applyFont="1" applyBorder="1" applyAlignment="1">
      <alignment horizontal="left" vertical="top"/>
    </xf>
    <xf numFmtId="0" fontId="59" fillId="0" borderId="60" xfId="0" applyFont="1" applyBorder="1"/>
    <xf numFmtId="0" fontId="59" fillId="0" borderId="72" xfId="0" applyFont="1" applyBorder="1"/>
    <xf numFmtId="0" fontId="59" fillId="0" borderId="61" xfId="0" applyFont="1" applyBorder="1" applyAlignment="1">
      <alignment horizontal="center" vertical="center"/>
    </xf>
    <xf numFmtId="169" fontId="59" fillId="44" borderId="74" xfId="601" applyNumberFormat="1" applyFont="1" applyFill="1" applyBorder="1" applyAlignment="1">
      <alignment wrapText="1"/>
    </xf>
    <xf numFmtId="169" fontId="59" fillId="44" borderId="75" xfId="601" applyNumberFormat="1" applyFont="1" applyFill="1" applyBorder="1" applyAlignment="1">
      <alignment wrapText="1"/>
    </xf>
    <xf numFmtId="169" fontId="59" fillId="44" borderId="76" xfId="601" applyNumberFormat="1" applyFont="1" applyFill="1" applyBorder="1" applyAlignment="1">
      <alignment wrapText="1"/>
    </xf>
    <xf numFmtId="169" fontId="59" fillId="0" borderId="72" xfId="25688" applyNumberFormat="1" applyFont="1" applyFill="1" applyBorder="1"/>
    <xf numFmtId="169" fontId="59" fillId="0" borderId="61" xfId="25688" applyNumberFormat="1" applyFont="1" applyFill="1" applyBorder="1"/>
    <xf numFmtId="0" fontId="59" fillId="0" borderId="0" xfId="0" applyFont="1"/>
    <xf numFmtId="0" fontId="57" fillId="0" borderId="66" xfId="0" applyFont="1" applyBorder="1" applyAlignment="1">
      <alignment horizontal="center" vertical="center"/>
    </xf>
    <xf numFmtId="169" fontId="57" fillId="0" borderId="77" xfId="601" applyNumberFormat="1" applyFont="1" applyBorder="1" applyAlignment="1">
      <alignment wrapText="1"/>
    </xf>
    <xf numFmtId="169" fontId="57" fillId="0" borderId="78" xfId="601" applyNumberFormat="1" applyFont="1" applyBorder="1" applyAlignment="1">
      <alignment wrapText="1"/>
    </xf>
    <xf numFmtId="169" fontId="57" fillId="0" borderId="79" xfId="601" applyNumberFormat="1" applyFont="1" applyBorder="1" applyAlignment="1">
      <alignment wrapText="1"/>
    </xf>
    <xf numFmtId="169" fontId="57" fillId="0" borderId="0" xfId="25688" applyNumberFormat="1" applyFont="1" applyFill="1" applyBorder="1"/>
    <xf numFmtId="169" fontId="57" fillId="0" borderId="66" xfId="25688" applyNumberFormat="1" applyFont="1" applyFill="1" applyBorder="1"/>
    <xf numFmtId="169" fontId="57" fillId="44" borderId="77" xfId="601" applyNumberFormat="1" applyFont="1" applyFill="1" applyBorder="1" applyAlignment="1">
      <alignment wrapText="1"/>
    </xf>
    <xf numFmtId="169" fontId="57" fillId="44" borderId="78" xfId="601" applyNumberFormat="1" applyFont="1" applyFill="1" applyBorder="1" applyAlignment="1">
      <alignment wrapText="1"/>
    </xf>
    <xf numFmtId="169" fontId="57" fillId="44" borderId="79" xfId="601" applyNumberFormat="1" applyFont="1" applyFill="1" applyBorder="1" applyAlignment="1">
      <alignment wrapText="1"/>
    </xf>
    <xf numFmtId="0" fontId="59" fillId="0" borderId="68" xfId="0" applyFont="1" applyBorder="1" applyAlignment="1">
      <alignment horizontal="left" vertical="top"/>
    </xf>
    <xf numFmtId="169" fontId="59" fillId="0" borderId="77" xfId="601" applyNumberFormat="1" applyFont="1" applyBorder="1" applyAlignment="1">
      <alignment wrapText="1"/>
    </xf>
    <xf numFmtId="169" fontId="59" fillId="0" borderId="78" xfId="601" applyNumberFormat="1" applyFont="1" applyBorder="1" applyAlignment="1">
      <alignment wrapText="1"/>
    </xf>
    <xf numFmtId="169" fontId="59" fillId="0" borderId="79" xfId="601" applyNumberFormat="1" applyFont="1" applyBorder="1" applyAlignment="1">
      <alignment wrapText="1"/>
    </xf>
    <xf numFmtId="0" fontId="59" fillId="0" borderId="0" xfId="0" applyFont="1" applyAlignment="1">
      <alignment horizontal="left" vertical="top"/>
    </xf>
    <xf numFmtId="169" fontId="59" fillId="44" borderId="77" xfId="601" applyNumberFormat="1" applyFont="1" applyFill="1" applyBorder="1" applyAlignment="1">
      <alignment wrapText="1"/>
    </xf>
    <xf numFmtId="169" fontId="59" fillId="44" borderId="78" xfId="601" applyNumberFormat="1" applyFont="1" applyFill="1" applyBorder="1" applyAlignment="1">
      <alignment wrapText="1"/>
    </xf>
    <xf numFmtId="169" fontId="59" fillId="44" borderId="79" xfId="601" applyNumberFormat="1" applyFont="1" applyFill="1" applyBorder="1" applyAlignment="1">
      <alignment wrapText="1"/>
    </xf>
    <xf numFmtId="0" fontId="59" fillId="0" borderId="0" xfId="0" applyFont="1" applyAlignment="1">
      <alignment vertical="top"/>
    </xf>
    <xf numFmtId="0" fontId="59" fillId="0" borderId="65" xfId="0" applyFont="1" applyBorder="1"/>
    <xf numFmtId="0" fontId="59" fillId="0" borderId="66" xfId="0" applyFont="1" applyBorder="1" applyAlignment="1">
      <alignment horizontal="center" vertical="center"/>
    </xf>
    <xf numFmtId="169" fontId="59" fillId="0" borderId="0" xfId="25688" applyNumberFormat="1" applyFont="1" applyFill="1" applyBorder="1"/>
    <xf numFmtId="169" fontId="59" fillId="0" borderId="66" xfId="25688" applyNumberFormat="1" applyFont="1" applyFill="1" applyBorder="1"/>
    <xf numFmtId="0" fontId="57" fillId="0" borderId="0" xfId="0" applyFont="1" applyAlignment="1">
      <alignment vertical="top"/>
    </xf>
    <xf numFmtId="169" fontId="59" fillId="0" borderId="80" xfId="601" applyNumberFormat="1" applyFont="1" applyBorder="1" applyAlignment="1">
      <alignment wrapText="1"/>
    </xf>
    <xf numFmtId="169" fontId="57" fillId="44" borderId="81" xfId="601" applyNumberFormat="1" applyFont="1" applyFill="1" applyBorder="1" applyAlignment="1">
      <alignment wrapText="1"/>
    </xf>
    <xf numFmtId="0" fontId="59" fillId="37" borderId="0" xfId="0" applyFont="1" applyFill="1"/>
    <xf numFmtId="169" fontId="57" fillId="44" borderId="80" xfId="601" applyNumberFormat="1" applyFont="1" applyFill="1" applyBorder="1" applyAlignment="1">
      <alignment wrapText="1"/>
    </xf>
    <xf numFmtId="169" fontId="57" fillId="0" borderId="80" xfId="601" applyNumberFormat="1" applyFont="1" applyBorder="1" applyAlignment="1">
      <alignment wrapText="1"/>
    </xf>
    <xf numFmtId="169" fontId="59" fillId="0" borderId="0" xfId="25688" applyNumberFormat="1" applyFont="1" applyBorder="1"/>
    <xf numFmtId="169" fontId="59" fillId="0" borderId="66" xfId="25688" applyNumberFormat="1" applyFont="1" applyBorder="1"/>
    <xf numFmtId="0" fontId="57" fillId="37" borderId="0" xfId="0" applyFont="1" applyFill="1"/>
    <xf numFmtId="169" fontId="57" fillId="0" borderId="0" xfId="25688" applyNumberFormat="1" applyFont="1" applyBorder="1"/>
    <xf numFmtId="169" fontId="57" fillId="0" borderId="66" xfId="25688" applyNumberFormat="1" applyFont="1" applyBorder="1"/>
    <xf numFmtId="169" fontId="57" fillId="44" borderId="82" xfId="601" applyNumberFormat="1" applyFont="1" applyFill="1" applyBorder="1" applyAlignment="1">
      <alignment wrapText="1"/>
    </xf>
    <xf numFmtId="169" fontId="57" fillId="44" borderId="83" xfId="601" applyNumberFormat="1" applyFont="1" applyFill="1" applyBorder="1" applyAlignment="1">
      <alignment wrapText="1"/>
    </xf>
    <xf numFmtId="169" fontId="57" fillId="44" borderId="84" xfId="601" applyNumberFormat="1" applyFont="1" applyFill="1" applyBorder="1" applyAlignment="1">
      <alignment wrapText="1"/>
    </xf>
    <xf numFmtId="169" fontId="57" fillId="44" borderId="85" xfId="601" applyNumberFormat="1" applyFont="1" applyFill="1" applyBorder="1" applyAlignment="1">
      <alignment wrapText="1"/>
    </xf>
    <xf numFmtId="169" fontId="57" fillId="0" borderId="73" xfId="25688" applyNumberFormat="1" applyFont="1" applyBorder="1"/>
    <xf numFmtId="169" fontId="57" fillId="0" borderId="63" xfId="25688" applyNumberFormat="1" applyFont="1" applyBorder="1"/>
    <xf numFmtId="169" fontId="57" fillId="0" borderId="0" xfId="601" applyNumberFormat="1" applyFont="1" applyFill="1" applyBorder="1" applyAlignment="1">
      <alignment wrapText="1"/>
    </xf>
    <xf numFmtId="0" fontId="57" fillId="0" borderId="62" xfId="0" applyFont="1" applyBorder="1" applyAlignment="1">
      <alignment horizontal="left" vertical="top"/>
    </xf>
    <xf numFmtId="49" fontId="57" fillId="0" borderId="73" xfId="0" applyNumberFormat="1" applyFont="1" applyBorder="1"/>
    <xf numFmtId="49" fontId="57" fillId="0" borderId="73" xfId="0" applyNumberFormat="1" applyFont="1" applyBorder="1" applyAlignment="1">
      <alignment wrapText="1"/>
    </xf>
    <xf numFmtId="0" fontId="60" fillId="0" borderId="65" xfId="0" applyFont="1" applyBorder="1" applyAlignment="1">
      <alignment wrapText="1"/>
    </xf>
    <xf numFmtId="0" fontId="60" fillId="0" borderId="66" xfId="0" applyFont="1" applyBorder="1" applyAlignment="1">
      <alignment wrapText="1"/>
    </xf>
    <xf numFmtId="0" fontId="57" fillId="42" borderId="65" xfId="0" applyFont="1" applyFill="1" applyBorder="1"/>
    <xf numFmtId="0" fontId="57" fillId="42" borderId="0" xfId="0" applyFont="1" applyFill="1"/>
    <xf numFmtId="0" fontId="57" fillId="42" borderId="66" xfId="0" applyFont="1" applyFill="1" applyBorder="1"/>
    <xf numFmtId="169" fontId="57" fillId="44" borderId="65" xfId="601" applyNumberFormat="1" applyFont="1" applyFill="1" applyBorder="1" applyAlignment="1">
      <alignment wrapText="1"/>
    </xf>
    <xf numFmtId="169" fontId="57" fillId="44" borderId="0" xfId="601" applyNumberFormat="1" applyFont="1" applyFill="1" applyBorder="1" applyAlignment="1">
      <alignment wrapText="1"/>
    </xf>
    <xf numFmtId="169" fontId="57" fillId="44" borderId="66" xfId="601" applyNumberFormat="1" applyFont="1" applyFill="1" applyBorder="1" applyAlignment="1">
      <alignment wrapText="1"/>
    </xf>
    <xf numFmtId="169" fontId="57" fillId="0" borderId="65" xfId="601" applyNumberFormat="1" applyFont="1" applyBorder="1" applyAlignment="1">
      <alignment wrapText="1"/>
    </xf>
    <xf numFmtId="169" fontId="57" fillId="0" borderId="0" xfId="601" applyNumberFormat="1" applyFont="1" applyBorder="1" applyAlignment="1">
      <alignment wrapText="1"/>
    </xf>
    <xf numFmtId="169" fontId="57" fillId="0" borderId="66" xfId="601" applyNumberFormat="1" applyFont="1" applyBorder="1" applyAlignment="1">
      <alignment wrapText="1"/>
    </xf>
    <xf numFmtId="169" fontId="57" fillId="44" borderId="62" xfId="601" applyNumberFormat="1" applyFont="1" applyFill="1" applyBorder="1" applyAlignment="1">
      <alignment wrapText="1"/>
    </xf>
    <xf numFmtId="169" fontId="57" fillId="44" borderId="73" xfId="601" applyNumberFormat="1" applyFont="1" applyFill="1" applyBorder="1" applyAlignment="1">
      <alignment wrapText="1"/>
    </xf>
    <xf numFmtId="169" fontId="57" fillId="44" borderId="63" xfId="601" applyNumberFormat="1" applyFont="1" applyFill="1" applyBorder="1" applyAlignment="1">
      <alignment wrapText="1"/>
    </xf>
    <xf numFmtId="169" fontId="62" fillId="0" borderId="65" xfId="601" applyNumberFormat="1" applyFont="1" applyBorder="1" applyAlignment="1">
      <alignment wrapText="1"/>
    </xf>
    <xf numFmtId="169" fontId="62" fillId="0" borderId="0" xfId="601" applyNumberFormat="1" applyFont="1" applyBorder="1" applyAlignment="1">
      <alignment wrapText="1"/>
    </xf>
    <xf numFmtId="169" fontId="62" fillId="0" borderId="66" xfId="601" applyNumberFormat="1" applyFont="1" applyBorder="1" applyAlignment="1">
      <alignment wrapText="1"/>
    </xf>
    <xf numFmtId="169" fontId="59" fillId="0" borderId="62" xfId="25688" applyNumberFormat="1" applyFont="1" applyBorder="1"/>
    <xf numFmtId="169" fontId="59" fillId="0" borderId="73" xfId="25688" applyNumberFormat="1" applyFont="1" applyBorder="1"/>
    <xf numFmtId="169" fontId="59" fillId="0" borderId="63" xfId="25688" applyNumberFormat="1" applyFont="1" applyBorder="1"/>
    <xf numFmtId="0" fontId="63" fillId="0" borderId="0" xfId="0" applyFont="1"/>
    <xf numFmtId="0" fontId="57" fillId="43" borderId="0" xfId="0" applyFont="1" applyFill="1"/>
    <xf numFmtId="0" fontId="57" fillId="43" borderId="66" xfId="0" applyFont="1" applyFill="1" applyBorder="1"/>
    <xf numFmtId="0" fontId="64" fillId="0" borderId="72" xfId="0" applyFont="1" applyBorder="1"/>
    <xf numFmtId="0" fontId="64" fillId="0" borderId="60" xfId="0" applyFont="1" applyBorder="1"/>
    <xf numFmtId="0" fontId="56" fillId="0" borderId="72" xfId="0" applyFont="1" applyBorder="1" applyAlignment="1">
      <alignment horizontal="right" wrapText="1"/>
    </xf>
    <xf numFmtId="0" fontId="56" fillId="0" borderId="61" xfId="0" applyFont="1" applyBorder="1" applyAlignment="1">
      <alignment horizontal="right" wrapText="1"/>
    </xf>
    <xf numFmtId="0" fontId="0" fillId="0" borderId="65" xfId="0" applyBorder="1"/>
    <xf numFmtId="0" fontId="0" fillId="0" borderId="66" xfId="0" applyBorder="1"/>
    <xf numFmtId="0" fontId="0" fillId="0" borderId="62" xfId="0" applyBorder="1"/>
    <xf numFmtId="0" fontId="0" fillId="0" borderId="73" xfId="0" applyBorder="1"/>
    <xf numFmtId="0" fontId="0" fillId="0" borderId="63" xfId="0" applyBorder="1"/>
    <xf numFmtId="0" fontId="0" fillId="0" borderId="60" xfId="0" applyBorder="1"/>
    <xf numFmtId="167" fontId="0" fillId="0" borderId="72" xfId="25686" applyNumberFormat="1" applyFont="1" applyBorder="1"/>
    <xf numFmtId="167" fontId="0" fillId="0" borderId="61" xfId="25686" applyNumberFormat="1" applyFont="1" applyBorder="1"/>
    <xf numFmtId="167" fontId="0" fillId="0" borderId="0" xfId="25686" applyNumberFormat="1" applyFont="1" applyBorder="1"/>
    <xf numFmtId="167" fontId="0" fillId="0" borderId="66" xfId="25686" applyNumberFormat="1" applyFont="1" applyBorder="1"/>
    <xf numFmtId="0" fontId="56" fillId="42" borderId="65" xfId="0" applyFont="1" applyFill="1" applyBorder="1"/>
    <xf numFmtId="0" fontId="56" fillId="42" borderId="0" xfId="0" applyFont="1" applyFill="1"/>
    <xf numFmtId="0" fontId="56" fillId="42" borderId="72" xfId="0" applyFont="1" applyFill="1" applyBorder="1"/>
    <xf numFmtId="0" fontId="65" fillId="0" borderId="60" xfId="0" applyFont="1" applyBorder="1" applyAlignment="1">
      <alignment wrapText="1"/>
    </xf>
    <xf numFmtId="0" fontId="65" fillId="0" borderId="72" xfId="0" applyFont="1" applyBorder="1" applyAlignment="1">
      <alignment wrapText="1"/>
    </xf>
    <xf numFmtId="0" fontId="65" fillId="0" borderId="60" xfId="0" applyFont="1" applyBorder="1" applyAlignment="1">
      <alignment horizontal="right" wrapText="1"/>
    </xf>
    <xf numFmtId="0" fontId="65" fillId="0" borderId="72" xfId="0" applyFont="1" applyBorder="1" applyAlignment="1">
      <alignment horizontal="right" wrapText="1"/>
    </xf>
    <xf numFmtId="0" fontId="65" fillId="0" borderId="61" xfId="0" applyFont="1" applyBorder="1" applyAlignment="1">
      <alignment horizontal="right" wrapText="1"/>
    </xf>
    <xf numFmtId="0" fontId="64" fillId="0" borderId="62" xfId="0" applyFont="1" applyBorder="1"/>
    <xf numFmtId="0" fontId="64" fillId="0" borderId="73" xfId="0" applyFont="1" applyBorder="1"/>
    <xf numFmtId="0" fontId="0" fillId="42" borderId="65" xfId="0" applyFill="1" applyBorder="1"/>
    <xf numFmtId="0" fontId="0" fillId="42" borderId="0" xfId="0" applyFill="1"/>
    <xf numFmtId="0" fontId="0" fillId="43" borderId="65" xfId="0" applyFill="1" applyBorder="1"/>
    <xf numFmtId="0" fontId="0" fillId="43" borderId="0" xfId="0" applyFill="1"/>
    <xf numFmtId="0" fontId="0" fillId="43" borderId="66" xfId="0" applyFill="1" applyBorder="1"/>
    <xf numFmtId="0" fontId="56" fillId="0" borderId="64" xfId="0" applyFont="1" applyBorder="1"/>
    <xf numFmtId="0" fontId="0" fillId="0" borderId="72" xfId="0" applyBorder="1"/>
    <xf numFmtId="0" fontId="0" fillId="0" borderId="61" xfId="0" applyBorder="1"/>
    <xf numFmtId="169" fontId="57" fillId="0" borderId="65" xfId="601" applyNumberFormat="1" applyFont="1" applyFill="1" applyBorder="1" applyAlignment="1">
      <alignment wrapText="1"/>
    </xf>
    <xf numFmtId="169" fontId="0" fillId="0" borderId="65" xfId="25688" applyNumberFormat="1" applyFont="1" applyFill="1" applyBorder="1"/>
    <xf numFmtId="169" fontId="0" fillId="0" borderId="0" xfId="25688" applyNumberFormat="1" applyFont="1" applyFill="1" applyBorder="1"/>
    <xf numFmtId="169" fontId="0" fillId="0" borderId="66" xfId="25688" applyNumberFormat="1" applyFont="1" applyFill="1" applyBorder="1"/>
    <xf numFmtId="0" fontId="56" fillId="0" borderId="67" xfId="0" applyFont="1" applyBorder="1"/>
    <xf numFmtId="0" fontId="0" fillId="45" borderId="65" xfId="0" applyFill="1" applyBorder="1"/>
    <xf numFmtId="0" fontId="0" fillId="45" borderId="0" xfId="0" applyFill="1"/>
    <xf numFmtId="0" fontId="0" fillId="45" borderId="66" xfId="0" applyFill="1" applyBorder="1"/>
    <xf numFmtId="0" fontId="56" fillId="42" borderId="69" xfId="0" applyFont="1" applyFill="1" applyBorder="1"/>
    <xf numFmtId="0" fontId="56" fillId="42" borderId="70" xfId="0" applyFont="1" applyFill="1" applyBorder="1"/>
    <xf numFmtId="0" fontId="64" fillId="0" borderId="65" xfId="0" applyFont="1" applyBorder="1"/>
    <xf numFmtId="0" fontId="64" fillId="0" borderId="0" xfId="0" applyFont="1"/>
    <xf numFmtId="0" fontId="0" fillId="0" borderId="72" xfId="0" applyBorder="1" applyAlignment="1">
      <alignment horizontal="left"/>
    </xf>
    <xf numFmtId="169" fontId="0" fillId="0" borderId="60" xfId="25688" applyNumberFormat="1" applyFont="1" applyFill="1" applyBorder="1"/>
    <xf numFmtId="169" fontId="0" fillId="0" borderId="72" xfId="25688" applyNumberFormat="1" applyFont="1" applyFill="1" applyBorder="1"/>
    <xf numFmtId="169" fontId="0" fillId="0" borderId="61" xfId="25688" applyNumberFormat="1" applyFont="1" applyFill="1" applyBorder="1"/>
    <xf numFmtId="0" fontId="0" fillId="0" borderId="0" xfId="0" applyAlignment="1">
      <alignment horizontal="left"/>
    </xf>
    <xf numFmtId="0" fontId="0" fillId="45" borderId="0" xfId="0" applyFill="1" applyAlignment="1">
      <alignment horizontal="left"/>
    </xf>
    <xf numFmtId="0" fontId="56" fillId="0" borderId="68" xfId="0" applyFont="1" applyBorder="1"/>
    <xf numFmtId="0" fontId="0" fillId="0" borderId="73" xfId="0" applyBorder="1" applyAlignment="1">
      <alignment horizontal="left"/>
    </xf>
    <xf numFmtId="169" fontId="0" fillId="0" borderId="62" xfId="25688" applyNumberFormat="1" applyFont="1" applyFill="1" applyBorder="1"/>
    <xf numFmtId="169" fontId="0" fillId="0" borderId="73" xfId="25688" applyNumberFormat="1" applyFont="1" applyFill="1" applyBorder="1"/>
    <xf numFmtId="169" fontId="0" fillId="0" borderId="63" xfId="25688" applyNumberFormat="1" applyFont="1" applyFill="1" applyBorder="1"/>
    <xf numFmtId="0" fontId="14" fillId="33" borderId="0" xfId="0" applyFont="1" applyFill="1"/>
    <xf numFmtId="0" fontId="9" fillId="0" borderId="0" xfId="0" applyFont="1"/>
    <xf numFmtId="0" fontId="49" fillId="0" borderId="0" xfId="0" applyFont="1"/>
    <xf numFmtId="0" fontId="66" fillId="0" borderId="0" xfId="0" applyFont="1"/>
    <xf numFmtId="0" fontId="67" fillId="0" borderId="0" xfId="0" applyFont="1"/>
    <xf numFmtId="49" fontId="9" fillId="0" borderId="0" xfId="0" applyNumberFormat="1" applyFont="1"/>
    <xf numFmtId="0" fontId="9" fillId="0" borderId="0" xfId="0" applyFont="1" applyAlignment="1">
      <alignment horizontal="left"/>
    </xf>
    <xf numFmtId="9" fontId="9" fillId="0" borderId="0" xfId="0" applyNumberFormat="1" applyFont="1" applyAlignment="1">
      <alignment horizontal="left"/>
    </xf>
    <xf numFmtId="0" fontId="68" fillId="0" borderId="0" xfId="0" applyFont="1"/>
    <xf numFmtId="0" fontId="48" fillId="41" borderId="0" xfId="0" applyFont="1" applyFill="1" applyAlignment="1">
      <alignment horizontal="center" vertical="top"/>
    </xf>
    <xf numFmtId="0" fontId="48" fillId="37" borderId="0" xfId="0" applyFont="1" applyFill="1" applyAlignment="1">
      <alignment horizontal="center" vertical="top" wrapText="1"/>
    </xf>
    <xf numFmtId="0" fontId="48" fillId="37" borderId="0" xfId="0" applyFont="1" applyFill="1" applyAlignment="1">
      <alignment horizontal="center" vertical="top"/>
    </xf>
    <xf numFmtId="0" fontId="53" fillId="34" borderId="0" xfId="0" applyFont="1" applyFill="1" applyAlignment="1">
      <alignment horizontal="left" vertical="top" wrapTex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5" fillId="0" borderId="35"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5" xfId="0" applyBorder="1" applyAlignment="1">
      <alignment horizontal="left" vertical="center" wrapText="1"/>
    </xf>
    <xf numFmtId="0" fontId="0" fillId="0" borderId="20" xfId="0" applyBorder="1" applyAlignment="1">
      <alignment horizontal="left" vertical="center" wrapTex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5" fillId="0" borderId="36" xfId="0" applyFont="1" applyBorder="1" applyAlignment="1">
      <alignment horizontal="left" vertical="center" wrapText="1"/>
    </xf>
    <xf numFmtId="0" fontId="5" fillId="0" borderId="22" xfId="0" applyFont="1" applyBorder="1" applyAlignment="1">
      <alignment horizontal="left" vertical="center" wrapText="1"/>
    </xf>
    <xf numFmtId="0" fontId="5" fillId="0" borderId="37" xfId="0" applyFont="1" applyBorder="1" applyAlignment="1">
      <alignment horizontal="left" vertical="center" wrapText="1"/>
    </xf>
    <xf numFmtId="0" fontId="5" fillId="0" borderId="38" xfId="0" applyFont="1" applyBorder="1" applyAlignment="1">
      <alignment horizontal="left" vertical="center" wrapText="1"/>
    </xf>
    <xf numFmtId="0" fontId="5" fillId="0" borderId="40"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39"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5" fillId="38" borderId="35" xfId="0" applyFont="1" applyFill="1" applyBorder="1" applyAlignment="1">
      <alignment horizontal="center" vertical="top" wrapText="1"/>
    </xf>
    <xf numFmtId="0" fontId="5" fillId="38" borderId="20" xfId="0" applyFont="1" applyFill="1" applyBorder="1" applyAlignment="1">
      <alignment horizontal="center" vertical="top" wrapText="1"/>
    </xf>
    <xf numFmtId="0" fontId="5" fillId="38" borderId="31" xfId="0" applyFont="1" applyFill="1" applyBorder="1" applyAlignment="1">
      <alignment horizontal="center" vertical="top" wrapText="1"/>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41" fillId="33" borderId="19" xfId="0" applyFont="1" applyFill="1" applyBorder="1" applyAlignment="1">
      <alignment horizontal="center" vertical="top"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5" xfId="0" applyFont="1" applyBorder="1" applyAlignment="1">
      <alignment horizontal="left" vertical="center" wrapText="1"/>
    </xf>
    <xf numFmtId="0" fontId="6" fillId="0" borderId="20" xfId="0" applyFont="1" applyBorder="1" applyAlignment="1">
      <alignment horizontal="left" vertical="center" wrapText="1"/>
    </xf>
    <xf numFmtId="0" fontId="6" fillId="0" borderId="36"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5" fillId="0" borderId="3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6" fillId="0" borderId="41" xfId="0" applyFont="1" applyBorder="1" applyAlignment="1">
      <alignment horizontal="left" vertical="center" wrapText="1"/>
    </xf>
    <xf numFmtId="0" fontId="6" fillId="0" borderId="42" xfId="0" applyFont="1" applyBorder="1" applyAlignment="1">
      <alignment horizontal="left" vertical="center" wrapText="1"/>
    </xf>
    <xf numFmtId="0" fontId="6" fillId="0" borderId="40" xfId="0" applyFont="1" applyBorder="1" applyAlignment="1">
      <alignment horizontal="left" vertical="center" wrapText="1"/>
    </xf>
    <xf numFmtId="0" fontId="6" fillId="0" borderId="23" xfId="0" applyFont="1" applyBorder="1" applyAlignment="1">
      <alignment horizontal="left" vertical="center" wrapText="1"/>
    </xf>
    <xf numFmtId="0" fontId="6" fillId="0" borderId="56" xfId="0" applyFont="1" applyBorder="1" applyAlignment="1">
      <alignment horizontal="left" vertical="center" wrapText="1"/>
    </xf>
    <xf numFmtId="0" fontId="6" fillId="0" borderId="57" xfId="0" applyFont="1" applyBorder="1" applyAlignment="1">
      <alignment horizontal="left" vertical="center" wrapText="1"/>
    </xf>
    <xf numFmtId="0" fontId="5" fillId="34" borderId="57" xfId="0" applyFont="1" applyFill="1" applyBorder="1" applyAlignment="1">
      <alignment horizontal="left" vertical="center" wrapText="1"/>
    </xf>
    <xf numFmtId="0" fontId="5" fillId="34" borderId="58" xfId="0" applyFont="1" applyFill="1" applyBorder="1" applyAlignment="1">
      <alignment horizontal="left" vertical="center" wrapText="1"/>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21"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4" fillId="0" borderId="35" xfId="0" applyFont="1" applyBorder="1" applyAlignment="1">
      <alignment horizontal="left" vertical="top" wrapText="1" indent="1"/>
    </xf>
    <xf numFmtId="0" fontId="4" fillId="0" borderId="20" xfId="0" applyFont="1" applyBorder="1" applyAlignment="1">
      <alignment horizontal="left" vertical="top" wrapText="1" inden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7" fillId="34" borderId="35" xfId="0" applyFont="1" applyFill="1" applyBorder="1" applyAlignment="1">
      <alignment horizontal="center" vertical="center"/>
    </xf>
    <xf numFmtId="0" fontId="6" fillId="34" borderId="7" xfId="0" applyFont="1" applyFill="1" applyBorder="1" applyAlignment="1">
      <alignment horizontal="center" vertical="top" wrapText="1"/>
    </xf>
    <xf numFmtId="0" fontId="39" fillId="35" borderId="44" xfId="183" applyNumberFormat="1" applyFont="1" applyFill="1" applyBorder="1" applyAlignment="1" applyProtection="1">
      <alignment horizontal="left" vertical="center" wrapText="1"/>
      <protection locked="0"/>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5" fillId="0" borderId="54" xfId="0" applyFont="1" applyBorder="1" applyAlignment="1">
      <alignment horizontal="left" vertical="top" wrapText="1"/>
    </xf>
    <xf numFmtId="0" fontId="5" fillId="0" borderId="55" xfId="0" applyFont="1" applyBorder="1" applyAlignment="1">
      <alignment horizontal="left" vertical="top" wrapText="1"/>
    </xf>
    <xf numFmtId="0" fontId="5" fillId="0" borderId="44" xfId="0" applyFont="1" applyBorder="1" applyAlignment="1">
      <alignment horizontal="left" vertical="top" wrapText="1"/>
    </xf>
    <xf numFmtId="0" fontId="5" fillId="0" borderId="11" xfId="0" applyFont="1" applyBorder="1" applyAlignment="1">
      <alignment horizontal="left" vertical="top" wrapText="1"/>
    </xf>
    <xf numFmtId="0" fontId="5" fillId="0" borderId="15" xfId="0" applyFont="1" applyBorder="1" applyAlignment="1">
      <alignment horizontal="left" vertical="top" wrapText="1"/>
    </xf>
    <xf numFmtId="0" fontId="5" fillId="0" borderId="59" xfId="0" applyFont="1" applyBorder="1" applyAlignment="1">
      <alignment horizontal="left" vertical="top" wrapText="1"/>
    </xf>
    <xf numFmtId="0" fontId="6" fillId="38" borderId="20"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4" fillId="0" borderId="51" xfId="0" applyFont="1" applyBorder="1" applyAlignment="1">
      <alignment horizontal="lef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49" xfId="0" applyFont="1" applyBorder="1" applyAlignment="1">
      <alignment horizontal="left" vertical="center" wrapText="1" indent="1"/>
    </xf>
    <xf numFmtId="0" fontId="4" fillId="0" borderId="29" xfId="0" applyFont="1" applyBorder="1" applyAlignment="1">
      <alignment horizontal="left" vertical="center" wrapText="1" indent="1"/>
    </xf>
    <xf numFmtId="0" fontId="4" fillId="0" borderId="30" xfId="0" applyFont="1" applyBorder="1" applyAlignment="1">
      <alignment horizontal="left" vertical="center" wrapText="1" indent="1"/>
    </xf>
    <xf numFmtId="0" fontId="47" fillId="39" borderId="13" xfId="0" applyFont="1" applyFill="1" applyBorder="1" applyAlignment="1">
      <alignment horizontal="center" vertical="top" wrapText="1"/>
    </xf>
    <xf numFmtId="0" fontId="47" fillId="39"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5" fillId="0" borderId="35" xfId="0" applyFont="1" applyBorder="1" applyAlignment="1">
      <alignment horizontal="left" vertical="top" wrapText="1"/>
    </xf>
    <xf numFmtId="0" fontId="5" fillId="0" borderId="20"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41" xfId="0" applyFont="1" applyBorder="1" applyAlignment="1">
      <alignment horizontal="left" vertical="top" wrapText="1"/>
    </xf>
    <xf numFmtId="0" fontId="5" fillId="0" borderId="42" xfId="0" applyFont="1" applyBorder="1" applyAlignment="1">
      <alignment horizontal="left" vertical="top" wrapText="1"/>
    </xf>
    <xf numFmtId="0" fontId="39" fillId="35" borderId="42" xfId="183" applyNumberFormat="1" applyFont="1" applyFill="1" applyBorder="1" applyAlignment="1" applyProtection="1">
      <alignment horizontal="center" vertical="top" wrapText="1"/>
      <protection locked="0"/>
    </xf>
    <xf numFmtId="0" fontId="39" fillId="35" borderId="42" xfId="183" applyNumberFormat="1" applyFont="1" applyFill="1" applyBorder="1" applyAlignment="1" applyProtection="1">
      <alignment horizontal="left" vertical="top" wrapText="1"/>
      <protection locked="0"/>
    </xf>
    <xf numFmtId="0" fontId="39" fillId="35" borderId="43" xfId="183" applyNumberFormat="1" applyFont="1" applyFill="1" applyBorder="1" applyAlignment="1" applyProtection="1">
      <alignment horizontal="left" vertical="top" wrapText="1"/>
      <protection locked="0"/>
    </xf>
    <xf numFmtId="0" fontId="5" fillId="0" borderId="7" xfId="0" applyFont="1" applyBorder="1" applyAlignment="1">
      <alignment horizontal="right" vertical="top" wrapText="1" indent="1"/>
    </xf>
    <xf numFmtId="0" fontId="4" fillId="0" borderId="0"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7"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8" xfId="0" applyFont="1" applyFill="1" applyBorder="1" applyAlignment="1">
      <alignment horizontal="left" vertical="top" wrapText="1"/>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7" fillId="38" borderId="20" xfId="0" applyFont="1" applyFill="1" applyBorder="1" applyAlignment="1">
      <alignment horizontal="center" vertical="center" wrapText="1"/>
    </xf>
    <xf numFmtId="0" fontId="39" fillId="35" borderId="34" xfId="183" applyNumberFormat="1" applyFont="1" applyFill="1" applyBorder="1" applyAlignment="1" applyProtection="1">
      <alignment horizontal="left" vertical="top" wrapText="1"/>
      <protection locked="0"/>
    </xf>
    <xf numFmtId="0" fontId="5" fillId="0" borderId="7"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8" xfId="0" applyFont="1" applyFill="1" applyBorder="1" applyAlignment="1">
      <alignment horizontal="left" vertical="center" wrapText="1"/>
    </xf>
    <xf numFmtId="0" fontId="6" fillId="38" borderId="35" xfId="0" applyFont="1" applyFill="1" applyBorder="1" applyAlignment="1">
      <alignment horizontal="center" vertical="top" wrapText="1"/>
    </xf>
    <xf numFmtId="0" fontId="6" fillId="38" borderId="20" xfId="0" applyFont="1" applyFill="1" applyBorder="1" applyAlignment="1">
      <alignment horizontal="center" vertical="top" wrapText="1"/>
    </xf>
    <xf numFmtId="0" fontId="6" fillId="38" borderId="35" xfId="0" applyFont="1" applyFill="1" applyBorder="1" applyAlignment="1">
      <alignment horizontal="center" vertical="top"/>
    </xf>
    <xf numFmtId="0" fontId="6" fillId="38" borderId="20" xfId="0" applyFont="1" applyFill="1" applyBorder="1" applyAlignment="1">
      <alignment horizontal="center" vertical="top"/>
    </xf>
    <xf numFmtId="0" fontId="5" fillId="38" borderId="35" xfId="0" applyFont="1" applyFill="1" applyBorder="1" applyAlignment="1">
      <alignment horizontal="center" vertical="center" wrapText="1"/>
    </xf>
    <xf numFmtId="0" fontId="5" fillId="38" borderId="20" xfId="0" applyFont="1" applyFill="1" applyBorder="1" applyAlignment="1">
      <alignment horizontal="center" vertical="center" wrapText="1"/>
    </xf>
    <xf numFmtId="0" fontId="5" fillId="38" borderId="31" xfId="0" applyFont="1" applyFill="1" applyBorder="1" applyAlignment="1">
      <alignment horizontal="center" vertical="center" wrapText="1"/>
    </xf>
    <xf numFmtId="0" fontId="5" fillId="0" borderId="35" xfId="0" applyFont="1" applyBorder="1" applyAlignment="1">
      <alignment horizontal="left" vertical="center"/>
    </xf>
    <xf numFmtId="0" fontId="5" fillId="0" borderId="20" xfId="0" applyFont="1" applyBorder="1" applyAlignment="1">
      <alignment horizontal="left" vertical="center"/>
    </xf>
    <xf numFmtId="0" fontId="5" fillId="0" borderId="20" xfId="0" applyFont="1" applyBorder="1" applyAlignment="1">
      <alignment horizontal="right" vertical="top" indent="1"/>
    </xf>
    <xf numFmtId="0" fontId="45" fillId="38" borderId="20" xfId="0" applyFont="1" applyFill="1" applyBorder="1" applyAlignment="1">
      <alignment horizontal="center" vertical="top" wrapText="1"/>
    </xf>
    <xf numFmtId="0" fontId="5" fillId="0" borderId="46" xfId="0" applyFont="1" applyBorder="1" applyAlignment="1">
      <alignment horizontal="right" vertical="top" indent="1"/>
    </xf>
    <xf numFmtId="0" fontId="5" fillId="0" borderId="48" xfId="0" applyFont="1" applyBorder="1" applyAlignment="1">
      <alignment horizontal="right" vertical="top" indent="1"/>
    </xf>
    <xf numFmtId="0" fontId="46" fillId="35" borderId="20"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top" indent="1"/>
    </xf>
    <xf numFmtId="0" fontId="5" fillId="0" borderId="0" xfId="0" applyFont="1" applyBorder="1" applyAlignment="1">
      <alignment horizontal="right" vertical="top" indent="1"/>
    </xf>
    <xf numFmtId="0" fontId="5" fillId="0" borderId="35" xfId="0" applyFont="1" applyBorder="1" applyAlignment="1">
      <alignment vertical="center" wrapText="1"/>
    </xf>
    <xf numFmtId="0" fontId="5" fillId="0" borderId="20" xfId="0" applyFont="1" applyBorder="1" applyAlignment="1">
      <alignment vertical="center" wrapText="1"/>
    </xf>
    <xf numFmtId="0" fontId="5" fillId="0" borderId="35" xfId="0" applyFont="1" applyBorder="1" applyAlignment="1">
      <alignment horizontal="right" vertical="top" wrapText="1" indent="1"/>
    </xf>
    <xf numFmtId="0" fontId="5" fillId="0" borderId="20" xfId="0" applyFont="1" applyBorder="1" applyAlignment="1">
      <alignment horizontal="right" vertical="top" wrapText="1" indent="1"/>
    </xf>
    <xf numFmtId="0" fontId="5" fillId="0" borderId="45" xfId="0" applyFont="1" applyBorder="1" applyAlignment="1">
      <alignment horizontal="left" vertical="center" wrapText="1"/>
    </xf>
    <xf numFmtId="0" fontId="5" fillId="0" borderId="46" xfId="0" applyFont="1" applyBorder="1" applyAlignment="1">
      <alignment horizontal="left" vertical="center" wrapText="1"/>
    </xf>
    <xf numFmtId="0" fontId="5" fillId="0" borderId="47" xfId="0" applyFont="1" applyBorder="1" applyAlignment="1">
      <alignment horizontal="left" vertical="center" wrapText="1"/>
    </xf>
    <xf numFmtId="0" fontId="5" fillId="0" borderId="48" xfId="0" applyFont="1" applyBorder="1" applyAlignment="1">
      <alignment horizontal="left" vertical="center" wrapText="1"/>
    </xf>
    <xf numFmtId="0" fontId="6" fillId="38" borderId="7" xfId="0" applyFont="1" applyFill="1" applyBorder="1" applyAlignment="1">
      <alignment horizontal="center" vertical="center" wrapText="1"/>
    </xf>
    <xf numFmtId="0" fontId="4" fillId="34" borderId="54" xfId="0" applyFont="1" applyFill="1" applyBorder="1" applyAlignment="1">
      <alignment horizontal="right" vertical="center" wrapText="1" indent="1"/>
    </xf>
    <xf numFmtId="0" fontId="4" fillId="34" borderId="55" xfId="0" applyFont="1" applyFill="1" applyBorder="1" applyAlignment="1">
      <alignment horizontal="right" vertical="center" wrapText="1" indent="1"/>
    </xf>
    <xf numFmtId="0" fontId="4" fillId="34" borderId="44" xfId="0" applyFont="1" applyFill="1" applyBorder="1" applyAlignment="1">
      <alignment horizontal="right" vertical="center" wrapText="1" indent="1"/>
    </xf>
    <xf numFmtId="0" fontId="5" fillId="0" borderId="54" xfId="0" applyFont="1" applyBorder="1" applyAlignment="1">
      <alignment horizontal="right" vertical="center" wrapText="1" indent="1"/>
    </xf>
    <xf numFmtId="0" fontId="5" fillId="0" borderId="55" xfId="0" applyFont="1" applyBorder="1" applyAlignment="1">
      <alignment horizontal="right" vertical="center" wrapText="1" indent="1"/>
    </xf>
    <xf numFmtId="0" fontId="5" fillId="0" borderId="44" xfId="0" applyFont="1" applyBorder="1" applyAlignment="1">
      <alignment horizontal="right" vertical="center" wrapText="1" indent="1"/>
    </xf>
    <xf numFmtId="0" fontId="6" fillId="38" borderId="54" xfId="0" applyFont="1" applyFill="1" applyBorder="1" applyAlignment="1">
      <alignment horizontal="center" vertical="center" wrapText="1"/>
    </xf>
    <xf numFmtId="0" fontId="6" fillId="38" borderId="55" xfId="0" applyFont="1" applyFill="1" applyBorder="1" applyAlignment="1">
      <alignment horizontal="center" vertical="center" wrapText="1"/>
    </xf>
    <xf numFmtId="0" fontId="6" fillId="38" borderId="44" xfId="0" applyFont="1" applyFill="1" applyBorder="1" applyAlignment="1">
      <alignment horizontal="center" vertical="center" wrapText="1"/>
    </xf>
    <xf numFmtId="0" fontId="4" fillId="34" borderId="54" xfId="0" applyFont="1" applyFill="1" applyBorder="1" applyAlignment="1">
      <alignment horizontal="right" vertical="top" wrapText="1" indent="1"/>
    </xf>
    <xf numFmtId="0" fontId="4" fillId="34" borderId="55" xfId="0" applyFont="1" applyFill="1" applyBorder="1" applyAlignment="1">
      <alignment horizontal="right" vertical="top" wrapText="1" indent="1"/>
    </xf>
    <xf numFmtId="0" fontId="4" fillId="34" borderId="44" xfId="0" applyFont="1" applyFill="1" applyBorder="1" applyAlignment="1">
      <alignment horizontal="right" vertical="top" wrapText="1" indent="1"/>
    </xf>
    <xf numFmtId="0" fontId="6" fillId="0" borderId="23" xfId="0" applyFont="1" applyBorder="1" applyAlignment="1">
      <alignment horizontal="right" vertical="center" wrapText="1" indent="1"/>
    </xf>
    <xf numFmtId="0" fontId="6" fillId="0" borderId="20" xfId="0" applyFont="1" applyBorder="1" applyAlignment="1">
      <alignment horizontal="right" vertical="center" wrapText="1" indent="1"/>
    </xf>
    <xf numFmtId="0" fontId="6" fillId="38" borderId="51" xfId="0" applyFont="1" applyFill="1" applyBorder="1" applyAlignment="1">
      <alignment horizontal="center" vertical="center" wrapText="1"/>
    </xf>
    <xf numFmtId="0" fontId="6" fillId="38" borderId="52" xfId="0" applyFont="1" applyFill="1" applyBorder="1" applyAlignment="1">
      <alignment horizontal="center" vertical="center" wrapText="1"/>
    </xf>
    <xf numFmtId="0" fontId="6" fillId="38" borderId="49" xfId="0" applyFont="1" applyFill="1" applyBorder="1" applyAlignment="1">
      <alignment horizontal="center" vertical="center" wrapText="1"/>
    </xf>
    <xf numFmtId="0" fontId="6" fillId="38" borderId="53" xfId="0" applyFont="1" applyFill="1" applyBorder="1" applyAlignment="1">
      <alignment horizontal="center" vertical="center" wrapText="1"/>
    </xf>
    <xf numFmtId="0" fontId="5" fillId="0" borderId="49" xfId="0" applyFont="1" applyBorder="1" applyAlignment="1">
      <alignment horizontal="center" vertical="top" wrapText="1"/>
    </xf>
    <xf numFmtId="0" fontId="5" fillId="0" borderId="29" xfId="0" applyFont="1" applyBorder="1" applyAlignment="1">
      <alignment horizontal="center" vertical="top" wrapText="1"/>
    </xf>
    <xf numFmtId="0" fontId="5" fillId="0" borderId="30" xfId="0" applyFont="1" applyBorder="1" applyAlignment="1">
      <alignment horizontal="center" vertical="top" wrapText="1"/>
    </xf>
    <xf numFmtId="0" fontId="7" fillId="38" borderId="50" xfId="0" applyFont="1" applyFill="1" applyBorder="1" applyAlignment="1">
      <alignment horizontal="center" vertical="center" wrapText="1"/>
    </xf>
    <xf numFmtId="0" fontId="7" fillId="38" borderId="44" xfId="0" applyFont="1" applyFill="1" applyBorder="1" applyAlignment="1">
      <alignment horizontal="center" vertical="center" wrapText="1"/>
    </xf>
    <xf numFmtId="167" fontId="39" fillId="35" borderId="31" xfId="25686" applyNumberFormat="1" applyFont="1" applyFill="1" applyBorder="1" applyAlignment="1" applyProtection="1">
      <alignment horizontal="center" vertical="center"/>
      <protection locked="0"/>
    </xf>
    <xf numFmtId="167" fontId="39" fillId="35" borderId="35" xfId="25686" applyNumberFormat="1" applyFont="1" applyFill="1" applyBorder="1" applyAlignment="1" applyProtection="1">
      <alignment horizontal="center" vertical="center"/>
      <protection locked="0"/>
    </xf>
    <xf numFmtId="167" fontId="39" fillId="36" borderId="31" xfId="25686" applyNumberFormat="1" applyFont="1" applyFill="1" applyBorder="1" applyAlignment="1" applyProtection="1">
      <alignment horizontal="center" vertical="center"/>
    </xf>
    <xf numFmtId="167" fontId="39" fillId="36" borderId="35" xfId="25686" applyNumberFormat="1" applyFont="1" applyFill="1" applyBorder="1" applyAlignment="1" applyProtection="1">
      <alignment horizontal="center" vertical="center"/>
    </xf>
    <xf numFmtId="0" fontId="5" fillId="0" borderId="50" xfId="0" applyFont="1" applyBorder="1" applyAlignment="1">
      <alignment horizontal="right" vertical="top" indent="1"/>
    </xf>
    <xf numFmtId="0" fontId="5" fillId="0" borderId="44" xfId="0" applyFont="1" applyBorder="1" applyAlignment="1">
      <alignment horizontal="right" vertical="top" indent="1"/>
    </xf>
    <xf numFmtId="0" fontId="5" fillId="0" borderId="54" xfId="0" applyFont="1" applyBorder="1" applyAlignment="1">
      <alignment horizontal="right" vertical="center" wrapText="1"/>
    </xf>
    <xf numFmtId="0" fontId="5" fillId="0" borderId="55" xfId="0" applyFont="1" applyBorder="1" applyAlignment="1">
      <alignment horizontal="right" vertical="center" wrapText="1"/>
    </xf>
    <xf numFmtId="0" fontId="5" fillId="0" borderId="44" xfId="0" applyFont="1" applyBorder="1" applyAlignment="1">
      <alignment horizontal="right" vertical="center" wrapText="1"/>
    </xf>
    <xf numFmtId="0" fontId="4" fillId="34" borderId="54" xfId="0" applyFont="1" applyFill="1" applyBorder="1" applyAlignment="1">
      <alignment horizontal="right" vertical="center" wrapText="1"/>
    </xf>
    <xf numFmtId="0" fontId="4" fillId="34" borderId="55" xfId="0" applyFont="1" applyFill="1" applyBorder="1" applyAlignment="1">
      <alignment horizontal="right" vertical="center" wrapText="1"/>
    </xf>
    <xf numFmtId="0" fontId="4" fillId="34" borderId="44" xfId="0" applyFont="1" applyFill="1" applyBorder="1" applyAlignment="1">
      <alignment horizontal="right" vertical="center" wrapText="1"/>
    </xf>
    <xf numFmtId="0" fontId="5" fillId="0" borderId="54" xfId="0" applyFont="1" applyBorder="1" applyAlignment="1">
      <alignment horizontal="right" vertical="top" wrapText="1" indent="1"/>
    </xf>
    <xf numFmtId="0" fontId="5" fillId="0" borderId="55" xfId="0" applyFont="1" applyBorder="1" applyAlignment="1">
      <alignment horizontal="right" vertical="top" wrapText="1" indent="1"/>
    </xf>
    <xf numFmtId="0" fontId="5" fillId="0" borderId="44" xfId="0" applyFont="1" applyBorder="1" applyAlignment="1">
      <alignment horizontal="right" vertical="top" wrapText="1" indent="1"/>
    </xf>
    <xf numFmtId="0" fontId="45" fillId="38" borderId="50" xfId="0" applyFont="1" applyFill="1" applyBorder="1" applyAlignment="1">
      <alignment horizontal="center" vertical="top" wrapText="1"/>
    </xf>
    <xf numFmtId="0" fontId="45" fillId="38" borderId="55" xfId="0" applyFont="1" applyFill="1" applyBorder="1" applyAlignment="1">
      <alignment horizontal="center" vertical="top" wrapText="1"/>
    </xf>
    <xf numFmtId="0" fontId="45" fillId="38" borderId="44" xfId="0" applyFont="1" applyFill="1" applyBorder="1" applyAlignment="1">
      <alignment horizontal="center" vertical="top" wrapText="1"/>
    </xf>
    <xf numFmtId="0" fontId="5" fillId="0" borderId="7" xfId="0" applyFont="1" applyFill="1" applyBorder="1" applyAlignment="1">
      <alignment horizontal="right" vertical="top" indent="1"/>
    </xf>
    <xf numFmtId="0" fontId="5" fillId="0" borderId="0" xfId="0" applyFont="1" applyFill="1" applyBorder="1" applyAlignment="1">
      <alignment horizontal="right" vertical="top" indent="1"/>
    </xf>
    <xf numFmtId="0" fontId="5" fillId="0" borderId="21" xfId="0" applyFont="1" applyFill="1" applyBorder="1" applyAlignment="1">
      <alignment horizontal="right" vertical="top" indent="1"/>
    </xf>
    <xf numFmtId="0" fontId="46" fillId="35" borderId="50" xfId="183" applyNumberFormat="1" applyFont="1" applyFill="1" applyBorder="1" applyAlignment="1" applyProtection="1">
      <alignment horizontal="center" vertical="center" wrapText="1"/>
      <protection locked="0"/>
    </xf>
    <xf numFmtId="0" fontId="46" fillId="35" borderId="55" xfId="183" applyNumberFormat="1" applyFont="1" applyFill="1" applyBorder="1" applyAlignment="1" applyProtection="1">
      <alignment horizontal="center" vertical="center" wrapText="1"/>
      <protection locked="0"/>
    </xf>
    <xf numFmtId="0" fontId="46" fillId="35" borderId="44" xfId="183" applyNumberFormat="1" applyFont="1" applyFill="1" applyBorder="1" applyAlignment="1" applyProtection="1">
      <alignment horizontal="center" vertical="center" wrapText="1"/>
      <protection locked="0"/>
    </xf>
    <xf numFmtId="167" fontId="39" fillId="36" borderId="20" xfId="25686" applyNumberFormat="1" applyFont="1" applyFill="1" applyBorder="1" applyAlignment="1" applyProtection="1">
      <alignment horizontal="center" vertical="center"/>
    </xf>
    <xf numFmtId="0" fontId="5" fillId="0" borderId="20" xfId="0" applyFont="1" applyBorder="1" applyAlignment="1">
      <alignment horizontal="center" vertical="center" wrapText="1"/>
    </xf>
    <xf numFmtId="0" fontId="5" fillId="0" borderId="48" xfId="0" applyFont="1" applyBorder="1" applyAlignment="1">
      <alignment horizontal="right" vertical="center" wrapText="1" indent="1"/>
    </xf>
    <xf numFmtId="0" fontId="5" fillId="0" borderId="20" xfId="0" applyFont="1" applyBorder="1" applyAlignment="1">
      <alignment horizontal="right" vertical="center" wrapText="1" indent="1"/>
    </xf>
    <xf numFmtId="0" fontId="5" fillId="0" borderId="46" xfId="0" applyFont="1" applyBorder="1" applyAlignment="1">
      <alignment horizontal="right" vertical="center" wrapText="1" indent="1"/>
    </xf>
    <xf numFmtId="0" fontId="5" fillId="0" borderId="23" xfId="0" applyFont="1" applyBorder="1" applyAlignment="1">
      <alignment horizontal="right" vertical="center" wrapText="1" indent="1"/>
    </xf>
    <xf numFmtId="0" fontId="5" fillId="0" borderId="7" xfId="0" applyFont="1" applyBorder="1" applyAlignment="1">
      <alignment horizontal="right" vertical="top" wrapText="1"/>
    </xf>
    <xf numFmtId="0" fontId="5" fillId="0" borderId="0" xfId="0" applyFont="1" applyBorder="1" applyAlignment="1">
      <alignment horizontal="right" vertical="top" wrapText="1"/>
    </xf>
    <xf numFmtId="0" fontId="5" fillId="0" borderId="21" xfId="0" applyFont="1" applyBorder="1" applyAlignment="1">
      <alignment horizontal="right" vertical="top" wrapText="1"/>
    </xf>
    <xf numFmtId="0" fontId="39" fillId="36" borderId="20" xfId="183" applyNumberFormat="1" applyFont="1" applyFill="1" applyBorder="1" applyAlignment="1" applyProtection="1">
      <alignment horizontal="left" vertical="top" wrapText="1"/>
    </xf>
    <xf numFmtId="0" fontId="4" fillId="35" borderId="0" xfId="0" applyFont="1" applyFill="1" applyAlignment="1" applyProtection="1">
      <alignment horizontal="left" vertical="top" wrapText="1"/>
      <protection locked="0"/>
    </xf>
    <xf numFmtId="0" fontId="60" fillId="0" borderId="0" xfId="0" applyFont="1" applyAlignment="1">
      <alignment horizontal="center"/>
    </xf>
    <xf numFmtId="0" fontId="58" fillId="0" borderId="60" xfId="0" applyFont="1" applyBorder="1" applyAlignment="1">
      <alignment horizontal="center"/>
    </xf>
    <xf numFmtId="0" fontId="58" fillId="0" borderId="72" xfId="0" applyFont="1" applyBorder="1" applyAlignment="1">
      <alignment horizontal="center"/>
    </xf>
    <xf numFmtId="0" fontId="58" fillId="0" borderId="65" xfId="0" applyFont="1" applyBorder="1" applyAlignment="1">
      <alignment horizontal="center"/>
    </xf>
    <xf numFmtId="0" fontId="58" fillId="0" borderId="0" xfId="0" applyFont="1" applyAlignment="1">
      <alignment horizontal="center"/>
    </xf>
    <xf numFmtId="0" fontId="58" fillId="0" borderId="61" xfId="0" applyFont="1" applyBorder="1" applyAlignment="1">
      <alignment horizontal="center"/>
    </xf>
    <xf numFmtId="0" fontId="58" fillId="0" borderId="69" xfId="0" applyFont="1" applyBorder="1" applyAlignment="1">
      <alignment horizontal="center"/>
    </xf>
    <xf numFmtId="0" fontId="58" fillId="0" borderId="70" xfId="0" applyFont="1" applyBorder="1" applyAlignment="1">
      <alignment horizontal="center"/>
    </xf>
    <xf numFmtId="0" fontId="59" fillId="42" borderId="69" xfId="0" applyFont="1" applyFill="1" applyBorder="1" applyAlignment="1">
      <alignment horizontal="center"/>
    </xf>
    <xf numFmtId="0" fontId="59" fillId="42" borderId="70" xfId="0" applyFont="1" applyFill="1" applyBorder="1" applyAlignment="1">
      <alignment horizontal="center"/>
    </xf>
    <xf numFmtId="0" fontId="59" fillId="0" borderId="60" xfId="0" applyFont="1" applyBorder="1" applyAlignment="1">
      <alignment horizontal="center"/>
    </xf>
    <xf numFmtId="0" fontId="59" fillId="0" borderId="72" xfId="0" applyFont="1" applyBorder="1" applyAlignment="1">
      <alignment horizontal="center"/>
    </xf>
    <xf numFmtId="0" fontId="59" fillId="0" borderId="61" xfId="0" applyFont="1" applyBorder="1" applyAlignment="1">
      <alignment horizontal="center"/>
    </xf>
    <xf numFmtId="0" fontId="64" fillId="0" borderId="60" xfId="0" applyFont="1" applyBorder="1" applyAlignment="1">
      <alignment horizontal="center"/>
    </xf>
    <xf numFmtId="0" fontId="64" fillId="0" borderId="72" xfId="0" applyFont="1" applyBorder="1" applyAlignment="1">
      <alignment horizontal="center"/>
    </xf>
    <xf numFmtId="0" fontId="64" fillId="0" borderId="0" xfId="0" applyFont="1" applyAlignment="1">
      <alignment horizontal="center"/>
    </xf>
    <xf numFmtId="0" fontId="56" fillId="43" borderId="72" xfId="0" applyFont="1" applyFill="1" applyBorder="1" applyAlignment="1">
      <alignment horizontal="center"/>
    </xf>
    <xf numFmtId="0" fontId="56" fillId="43" borderId="61" xfId="0" applyFont="1" applyFill="1" applyBorder="1" applyAlignment="1">
      <alignment horizontal="center"/>
    </xf>
    <xf numFmtId="0" fontId="41" fillId="0" borderId="0" xfId="0" applyFont="1" applyFill="1" applyBorder="1" applyAlignment="1">
      <alignment horizontal="left" vertical="top" wrapText="1"/>
    </xf>
    <xf numFmtId="0" fontId="41" fillId="0" borderId="0" xfId="0" applyFont="1" applyFill="1" applyBorder="1" applyAlignment="1">
      <alignment horizontal="left" wrapText="1"/>
    </xf>
    <xf numFmtId="0" fontId="41" fillId="0" borderId="0" xfId="0" applyFont="1" applyFill="1" applyBorder="1" applyAlignment="1">
      <alignment horizontal="center" vertical="top"/>
    </xf>
    <xf numFmtId="0" fontId="6" fillId="0" borderId="0" xfId="0" applyFont="1" applyFill="1" applyBorder="1" applyAlignment="1">
      <alignment horizontal="center" vertical="top" wrapText="1"/>
    </xf>
    <xf numFmtId="0" fontId="5" fillId="0" borderId="0" xfId="0" applyFont="1" applyFill="1" applyBorder="1" applyAlignment="1">
      <alignment horizontal="left" vertical="center"/>
    </xf>
    <xf numFmtId="0" fontId="6" fillId="0" borderId="0" xfId="0" applyFont="1" applyFill="1" applyBorder="1" applyAlignment="1">
      <alignment horizontal="center" vertical="top"/>
    </xf>
    <xf numFmtId="0" fontId="5" fillId="0" borderId="0" xfId="0" applyFont="1" applyFill="1" applyBorder="1" applyAlignment="1">
      <alignment horizontal="right" vertical="top" wrapText="1" indent="1"/>
    </xf>
    <xf numFmtId="0" fontId="45" fillId="0" borderId="0" xfId="0" applyFont="1" applyFill="1" applyBorder="1" applyAlignment="1">
      <alignment horizontal="center" vertical="top" wrapText="1"/>
    </xf>
    <xf numFmtId="0" fontId="6" fillId="0" borderId="0" xfId="0" applyFont="1" applyFill="1" applyBorder="1" applyAlignment="1">
      <alignment horizontal="left" vertical="center" wrapText="1"/>
    </xf>
    <xf numFmtId="0" fontId="6" fillId="0" borderId="0" xfId="0" applyFont="1" applyFill="1" applyBorder="1" applyAlignment="1">
      <alignment horizontal="right" vertical="center" wrapText="1" indent="1"/>
    </xf>
    <xf numFmtId="0" fontId="5" fillId="0" borderId="0" xfId="0" applyFont="1" applyFill="1" applyBorder="1" applyAlignment="1">
      <alignment horizontal="center" vertical="center" wrapText="1"/>
    </xf>
    <xf numFmtId="0" fontId="5" fillId="0" borderId="0" xfId="0" applyFont="1" applyFill="1" applyBorder="1" applyAlignment="1">
      <alignment horizontal="center" vertical="top" wrapText="1"/>
    </xf>
    <xf numFmtId="0" fontId="6" fillId="0" borderId="0" xfId="0" applyFont="1" applyFill="1" applyBorder="1" applyAlignment="1">
      <alignment horizontal="center" vertical="center" wrapText="1"/>
    </xf>
    <xf numFmtId="0" fontId="5" fillId="0" borderId="0" xfId="0" applyFont="1" applyFill="1" applyBorder="1" applyAlignment="1">
      <alignment horizontal="right" vertical="center" wrapText="1"/>
    </xf>
    <xf numFmtId="0" fontId="4" fillId="0" borderId="0" xfId="0" applyFont="1" applyFill="1" applyBorder="1" applyAlignment="1">
      <alignment horizontal="right" vertical="center" wrapText="1"/>
    </xf>
    <xf numFmtId="0" fontId="5" fillId="0" borderId="0" xfId="0" applyFont="1" applyFill="1" applyBorder="1" applyAlignment="1">
      <alignment horizontal="right" vertical="center" wrapText="1" indent="1"/>
    </xf>
    <xf numFmtId="0" fontId="4" fillId="0" borderId="0" xfId="0" applyFont="1" applyFill="1" applyBorder="1" applyAlignment="1">
      <alignment horizontal="right" vertical="center" wrapText="1" indent="1"/>
    </xf>
    <xf numFmtId="0" fontId="4" fillId="0" borderId="0" xfId="0" applyFont="1" applyFill="1" applyBorder="1" applyAlignment="1">
      <alignment horizontal="right" vertical="top" wrapText="1" indent="1"/>
    </xf>
    <xf numFmtId="0" fontId="7" fillId="0" borderId="0" xfId="0" applyFont="1" applyFill="1" applyBorder="1" applyAlignment="1">
      <alignment horizontal="center" vertical="center" wrapText="1"/>
    </xf>
    <xf numFmtId="167" fontId="39" fillId="0" borderId="0" xfId="25686" applyNumberFormat="1" applyFont="1" applyFill="1" applyBorder="1" applyAlignment="1" applyProtection="1">
      <alignment horizontal="center" vertical="center"/>
      <protection locked="0"/>
    </xf>
    <xf numFmtId="0" fontId="4" fillId="0" borderId="0" xfId="0" applyFont="1" applyFill="1" applyBorder="1" applyAlignment="1" applyProtection="1">
      <alignment horizontal="left" vertical="top" wrapText="1"/>
      <protection locked="0"/>
    </xf>
    <xf numFmtId="0" fontId="5" fillId="0" borderId="0" xfId="0" applyFont="1" applyFill="1" applyBorder="1" applyAlignment="1">
      <alignment vertical="center" wrapText="1"/>
    </xf>
    <xf numFmtId="167" fontId="39" fillId="0" borderId="0" xfId="25686" applyNumberFormat="1" applyFont="1" applyFill="1" applyBorder="1" applyAlignment="1" applyProtection="1">
      <alignment horizontal="center" vertical="center"/>
    </xf>
  </cellXfs>
  <cellStyles count="25689">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12" xfId="25688" xr:uid="{73204DA6-58EA-4D35-9634-9E0A709CD445}"/>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54">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ont>
        <color rgb="FF00B050"/>
      </font>
      <fill>
        <patternFill>
          <fgColor auto="1"/>
          <bgColor theme="6" tint="0.79998168889431442"/>
        </patternFill>
      </fill>
    </dxf>
    <dxf>
      <font>
        <color rgb="FFFF0000"/>
      </font>
      <fill>
        <patternFill>
          <bgColor rgb="FFFF9B9B"/>
        </patternFill>
      </fill>
    </dxf>
    <dxf>
      <font>
        <color rgb="FF00B050"/>
      </font>
      <fill>
        <patternFill>
          <fgColor auto="1"/>
          <bgColor theme="6" tint="0.79998168889431442"/>
        </patternFill>
      </fill>
    </dxf>
    <dxf>
      <font>
        <color rgb="FFFF0000"/>
      </font>
      <fill>
        <patternFill>
          <bgColor rgb="FFFF9B9B"/>
        </patternFill>
      </fill>
    </dxf>
    <dxf>
      <fill>
        <patternFill>
          <bgColor rgb="FF92D050"/>
        </patternFill>
      </fill>
    </dxf>
    <dxf>
      <fill>
        <patternFill>
          <bgColor rgb="FFFFFF00"/>
        </patternFill>
      </fill>
    </dxf>
    <dxf>
      <font>
        <color rgb="FF00B050"/>
      </font>
      <fill>
        <patternFill>
          <fgColor auto="1"/>
          <bgColor theme="6" tint="0.79998168889431442"/>
        </patternFill>
      </fill>
    </dxf>
    <dxf>
      <font>
        <color rgb="FFFF0000"/>
      </font>
      <fill>
        <patternFill>
          <bgColor rgb="FFFF9B9B"/>
        </patternFill>
      </fill>
    </dxf>
    <dxf>
      <fill>
        <patternFill>
          <bgColor rgb="FF92D050"/>
        </patternFill>
      </fill>
    </dxf>
    <dxf>
      <fill>
        <patternFill>
          <bgColor rgb="FFFFFF0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A43E803-A059-454F-9D0C-4547D5EAF9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13F4E8E-5F35-4CE5-B265-60C4D6BB30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384FE2C-DF66-454F-8DA5-18616C283E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02CF89A3-45C2-480C-827A-91A94B4BC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4A8F790-45D7-4B45-9199-1AA26E2A06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B96C6D9-0B51-4FF2-9A8F-B995138880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0A85673-F6CA-4FD0-BF8C-334C7CBDA7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D8AAA91D-A1B8-46C2-A8E1-D9E9CD44A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9DD83BC-1C79-4DCC-8022-C9BF90A220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C3062EC4-7D20-49DC-8F5E-260BB24B7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394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386E3BE-57DA-43FF-93EA-83E7ACA866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394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A395541-13D2-48F6-9B73-91B8CBBE4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49025"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4C36CDC-D8EC-489A-93F6-C4998B5834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394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35E80479-DAD9-4133-8A83-9287A4130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394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DA529780-18AC-4249-939D-27DE4DEFB1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49025"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5BC868F7-C97E-4719-AF0C-31813D0554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6B837C9A-EBD6-44EA-A4BB-454766AD3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9931398B-36AD-4E33-B2F5-47C1A03C69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B1EE32B2-C799-4475-9F28-CD903AAA9A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07BF67A0-50C7-4513-ADC2-B2ECD36A13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4032B55B-E39C-4252-B662-7FBE0F59FA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65861802-8A0A-48CD-9B12-0FB784BE5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2C14F98-5CE9-4DE6-9F11-F77EBAD04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108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18225C57-78B2-44AE-87D4-EEDDC73B9A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rboleda, Jameyn" id="{9511D01A-9748-48D8-9681-CEDE6E6DC653}" userId="S::Jameyn.Arboleda@tribunal.gc.ca::914a611a-fd6b-460a-90bd-5bd9dc82c70e"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08T19:38:33.15" personId="{9511D01A-9748-48D8-9681-CEDE6E6DC653}" id="{32958E7C-C115-44D2-8ECA-B8DB96EAAE61}">
    <text>Hide EN and FR columns
TRIB &gt; Hide R/C</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L84"/>
  <sheetViews>
    <sheetView showGridLines="0" topLeftCell="A12" zoomScaleNormal="100" workbookViewId="0">
      <selection activeCell="C38" sqref="C38"/>
    </sheetView>
  </sheetViews>
  <sheetFormatPr defaultColWidth="8.85546875" defaultRowHeight="14.25" x14ac:dyDescent="0.25"/>
  <cols>
    <col min="1" max="1" width="24.42578125" style="86" bestFit="1" customWidth="1"/>
    <col min="2" max="2" width="58" style="10" customWidth="1"/>
    <col min="3" max="3" width="32.140625" style="10" bestFit="1" customWidth="1"/>
    <col min="4" max="4" width="18.85546875" style="10" bestFit="1" customWidth="1"/>
    <col min="5" max="5" width="8.85546875" style="10"/>
    <col min="6" max="6" width="11.85546875" style="10" customWidth="1"/>
    <col min="7" max="7" width="10.85546875" style="10" customWidth="1"/>
    <col min="8" max="10" width="8.85546875" style="10"/>
    <col min="11" max="11" width="12" style="10" bestFit="1" customWidth="1"/>
    <col min="12" max="16384" width="8.85546875" style="10"/>
  </cols>
  <sheetData>
    <row r="1" spans="1:12" s="101" customFormat="1" x14ac:dyDescent="0.25">
      <c r="A1" s="101" t="s">
        <v>92</v>
      </c>
      <c r="B1" s="101" t="s">
        <v>93</v>
      </c>
      <c r="C1" s="101" t="s">
        <v>94</v>
      </c>
      <c r="F1" s="101" t="s">
        <v>95</v>
      </c>
    </row>
    <row r="2" spans="1:12" x14ac:dyDescent="0.25">
      <c r="A2" s="86" t="s">
        <v>96</v>
      </c>
      <c r="B2" s="38" t="s">
        <v>524</v>
      </c>
      <c r="C2" s="38" t="str">
        <f>B2</f>
        <v>NQ-2026-001</v>
      </c>
      <c r="F2" s="10" t="s">
        <v>219</v>
      </c>
    </row>
    <row r="3" spans="1:12" x14ac:dyDescent="0.25">
      <c r="A3" s="86" t="s">
        <v>97</v>
      </c>
      <c r="B3" s="10" t="s">
        <v>511</v>
      </c>
      <c r="C3" s="10" t="s">
        <v>512</v>
      </c>
      <c r="F3" s="10" t="s">
        <v>218</v>
      </c>
    </row>
    <row r="4" spans="1:12" x14ac:dyDescent="0.25">
      <c r="A4" s="86" t="s">
        <v>167</v>
      </c>
      <c r="B4" s="38" t="s">
        <v>411</v>
      </c>
      <c r="C4" s="38" t="s">
        <v>412</v>
      </c>
      <c r="F4" s="10" t="s">
        <v>217</v>
      </c>
    </row>
    <row r="5" spans="1:12" ht="28.5" x14ac:dyDescent="0.25">
      <c r="A5" s="100" t="s">
        <v>297</v>
      </c>
      <c r="B5" s="38" t="s">
        <v>469</v>
      </c>
      <c r="C5" s="38" t="s">
        <v>470</v>
      </c>
      <c r="D5" s="99" t="s">
        <v>389</v>
      </c>
    </row>
    <row r="6" spans="1:12" x14ac:dyDescent="0.25">
      <c r="A6" s="86" t="s">
        <v>251</v>
      </c>
      <c r="B6" s="73">
        <v>2023</v>
      </c>
      <c r="C6" s="73">
        <f>B6</f>
        <v>2023</v>
      </c>
      <c r="F6" s="98" t="s">
        <v>295</v>
      </c>
    </row>
    <row r="7" spans="1:12" x14ac:dyDescent="0.25">
      <c r="A7" s="86" t="s">
        <v>268</v>
      </c>
      <c r="B7" s="87" t="s">
        <v>475</v>
      </c>
      <c r="C7" s="148" t="s">
        <v>510</v>
      </c>
      <c r="F7" s="38" t="s">
        <v>414</v>
      </c>
    </row>
    <row r="8" spans="1:12" x14ac:dyDescent="0.25">
      <c r="A8" s="86" t="s">
        <v>250</v>
      </c>
      <c r="B8" s="200">
        <v>2026</v>
      </c>
      <c r="C8" s="200">
        <f>B8</f>
        <v>2026</v>
      </c>
      <c r="F8" s="38" t="s">
        <v>413</v>
      </c>
    </row>
    <row r="9" spans="1:12" x14ac:dyDescent="0.25">
      <c r="A9" s="86" t="s">
        <v>231</v>
      </c>
      <c r="B9" s="10" t="s">
        <v>471</v>
      </c>
      <c r="C9" s="10" t="s">
        <v>472</v>
      </c>
      <c r="F9" s="99" t="s">
        <v>296</v>
      </c>
    </row>
    <row r="10" spans="1:12" x14ac:dyDescent="0.25">
      <c r="A10" s="86" t="s">
        <v>232</v>
      </c>
      <c r="B10" s="10" t="s">
        <v>473</v>
      </c>
      <c r="C10" s="10" t="s">
        <v>474</v>
      </c>
    </row>
    <row r="11" spans="1:12" x14ac:dyDescent="0.25">
      <c r="A11" s="86" t="s">
        <v>98</v>
      </c>
      <c r="B11" s="209" t="s">
        <v>547</v>
      </c>
      <c r="C11" s="209" t="s">
        <v>548</v>
      </c>
    </row>
    <row r="12" spans="1:12" x14ac:dyDescent="0.25">
      <c r="B12" s="78"/>
      <c r="F12" s="101"/>
      <c r="G12" s="86"/>
      <c r="H12" s="86"/>
      <c r="I12" s="86"/>
      <c r="J12" s="86"/>
      <c r="K12" s="86"/>
      <c r="L12" s="86"/>
    </row>
    <row r="13" spans="1:12" x14ac:dyDescent="0.25">
      <c r="A13" s="97" t="s">
        <v>286</v>
      </c>
      <c r="B13" s="38" t="s">
        <v>476</v>
      </c>
      <c r="C13" s="38" t="s">
        <v>477</v>
      </c>
      <c r="D13" s="38" t="s">
        <v>478</v>
      </c>
      <c r="F13" s="170"/>
      <c r="G13" s="170"/>
      <c r="H13" s="523"/>
      <c r="I13" s="523"/>
      <c r="J13" s="170"/>
      <c r="K13" s="101"/>
      <c r="L13" s="170"/>
    </row>
    <row r="14" spans="1:12" x14ac:dyDescent="0.25">
      <c r="A14" s="97" t="s">
        <v>287</v>
      </c>
      <c r="B14" s="38" t="s">
        <v>479</v>
      </c>
      <c r="C14" s="38" t="s">
        <v>480</v>
      </c>
      <c r="D14" s="38" t="s">
        <v>481</v>
      </c>
      <c r="F14" s="86"/>
      <c r="G14" s="86"/>
      <c r="H14" s="86"/>
      <c r="I14" s="86"/>
      <c r="J14" s="86"/>
      <c r="K14" s="86"/>
      <c r="L14" s="86"/>
    </row>
    <row r="15" spans="1:12" x14ac:dyDescent="0.25">
      <c r="F15" s="86"/>
      <c r="G15" s="86"/>
      <c r="H15" s="86"/>
      <c r="I15" s="86"/>
      <c r="J15" s="86"/>
      <c r="K15" s="86"/>
      <c r="L15" s="86"/>
    </row>
    <row r="16" spans="1:12" x14ac:dyDescent="0.25">
      <c r="A16" s="86" t="s">
        <v>105</v>
      </c>
      <c r="B16" s="38" t="s">
        <v>482</v>
      </c>
      <c r="C16" s="38" t="s">
        <v>483</v>
      </c>
      <c r="F16" s="86"/>
      <c r="G16" s="86"/>
      <c r="H16" s="86"/>
      <c r="I16" s="86"/>
      <c r="J16" s="86"/>
      <c r="K16" s="86"/>
      <c r="L16" s="86"/>
    </row>
    <row r="17" spans="1:12" s="38" customFormat="1" x14ac:dyDescent="0.25">
      <c r="A17" s="96" t="s">
        <v>285</v>
      </c>
      <c r="B17" s="10"/>
      <c r="C17" s="10"/>
      <c r="F17" s="86"/>
      <c r="G17" s="97"/>
      <c r="H17" s="97"/>
      <c r="I17" s="97"/>
      <c r="J17" s="86"/>
      <c r="K17" s="86"/>
      <c r="L17" s="97"/>
    </row>
    <row r="18" spans="1:12" s="38" customFormat="1" x14ac:dyDescent="0.25">
      <c r="A18" s="96"/>
      <c r="B18" s="10"/>
      <c r="F18" s="86"/>
      <c r="G18" s="97"/>
      <c r="H18" s="97"/>
      <c r="I18" s="97"/>
      <c r="J18" s="86"/>
      <c r="K18" s="86"/>
      <c r="L18" s="97"/>
    </row>
    <row r="19" spans="1:12" x14ac:dyDescent="0.25">
      <c r="A19" s="86" t="s">
        <v>106</v>
      </c>
      <c r="B19" s="40" t="s">
        <v>245</v>
      </c>
      <c r="C19" s="40" t="s">
        <v>245</v>
      </c>
      <c r="F19" s="86"/>
      <c r="G19" s="86"/>
      <c r="H19" s="86"/>
      <c r="I19" s="86"/>
      <c r="J19" s="86"/>
      <c r="K19" s="86"/>
      <c r="L19" s="97"/>
    </row>
    <row r="20" spans="1:12" x14ac:dyDescent="0.25">
      <c r="A20" s="86" t="s">
        <v>107</v>
      </c>
      <c r="B20" s="210" t="s">
        <v>484</v>
      </c>
      <c r="C20" s="40" t="s">
        <v>383</v>
      </c>
      <c r="F20" s="86"/>
      <c r="G20" s="86"/>
      <c r="H20" s="86"/>
      <c r="I20" s="86"/>
      <c r="J20" s="86"/>
      <c r="K20" s="86"/>
      <c r="L20" s="86"/>
    </row>
    <row r="21" spans="1:12" x14ac:dyDescent="0.25">
      <c r="A21" s="86" t="s">
        <v>108</v>
      </c>
      <c r="B21" s="40" t="s">
        <v>244</v>
      </c>
      <c r="C21" s="40" t="s">
        <v>383</v>
      </c>
      <c r="F21" s="86"/>
      <c r="G21" s="86"/>
      <c r="H21" s="86"/>
      <c r="I21" s="86"/>
      <c r="J21" s="86"/>
      <c r="K21" s="86"/>
      <c r="L21" s="86"/>
    </row>
    <row r="22" spans="1:12" x14ac:dyDescent="0.25">
      <c r="F22" s="86"/>
      <c r="G22" s="86"/>
      <c r="H22" s="86"/>
      <c r="I22" s="86"/>
      <c r="J22" s="86"/>
      <c r="K22" s="86"/>
      <c r="L22" s="86"/>
    </row>
    <row r="23" spans="1:12" x14ac:dyDescent="0.25">
      <c r="A23" s="97" t="s">
        <v>288</v>
      </c>
      <c r="B23" s="10" t="s">
        <v>289</v>
      </c>
      <c r="C23" s="10" t="s">
        <v>289</v>
      </c>
      <c r="F23" s="86"/>
      <c r="G23" s="86"/>
      <c r="H23" s="86"/>
      <c r="I23" s="86"/>
      <c r="J23" s="86"/>
      <c r="K23" s="86"/>
      <c r="L23" s="86"/>
    </row>
    <row r="24" spans="1:12" x14ac:dyDescent="0.25">
      <c r="A24" s="97" t="s">
        <v>290</v>
      </c>
      <c r="B24" s="10" t="s">
        <v>291</v>
      </c>
      <c r="C24" s="10" t="s">
        <v>291</v>
      </c>
      <c r="F24" s="86"/>
      <c r="G24" s="86"/>
      <c r="H24" s="86"/>
      <c r="I24" s="86"/>
      <c r="J24" s="86"/>
      <c r="K24" s="86"/>
      <c r="L24" s="86"/>
    </row>
    <row r="25" spans="1:12" x14ac:dyDescent="0.25">
      <c r="F25" s="86"/>
      <c r="G25" s="86"/>
      <c r="H25" s="86"/>
      <c r="I25" s="86"/>
      <c r="J25" s="86"/>
      <c r="K25" s="86"/>
      <c r="L25" s="86"/>
    </row>
    <row r="26" spans="1:12" x14ac:dyDescent="0.25">
      <c r="A26" s="86" t="s">
        <v>99</v>
      </c>
      <c r="B26" s="10" t="s">
        <v>292</v>
      </c>
      <c r="C26" s="10" t="s">
        <v>293</v>
      </c>
    </row>
    <row r="27" spans="1:12" x14ac:dyDescent="0.25">
      <c r="A27" s="86" t="s">
        <v>243</v>
      </c>
      <c r="B27" s="10" t="s">
        <v>294</v>
      </c>
      <c r="C27" s="10" t="s">
        <v>396</v>
      </c>
    </row>
    <row r="29" spans="1:12" x14ac:dyDescent="0.25">
      <c r="A29" s="86" t="s">
        <v>249</v>
      </c>
      <c r="B29" s="38" t="s">
        <v>377</v>
      </c>
      <c r="C29" s="38" t="s">
        <v>378</v>
      </c>
    </row>
    <row r="30" spans="1:12" x14ac:dyDescent="0.25">
      <c r="A30" s="86" t="s">
        <v>100</v>
      </c>
      <c r="B30" s="10" t="s">
        <v>533</v>
      </c>
      <c r="C30" s="38" t="s">
        <v>686</v>
      </c>
    </row>
    <row r="31" spans="1:12" x14ac:dyDescent="0.25">
      <c r="A31" s="86" t="s">
        <v>101</v>
      </c>
      <c r="B31" s="10" t="s">
        <v>534</v>
      </c>
      <c r="C31" s="206" t="s">
        <v>687</v>
      </c>
    </row>
    <row r="32" spans="1:12" x14ac:dyDescent="0.25">
      <c r="A32" s="86" t="s">
        <v>102</v>
      </c>
      <c r="B32" s="10" t="s">
        <v>536</v>
      </c>
      <c r="C32" s="206" t="s">
        <v>688</v>
      </c>
    </row>
    <row r="33" spans="1:6" x14ac:dyDescent="0.25">
      <c r="A33" s="86" t="s">
        <v>103</v>
      </c>
      <c r="B33" s="10" t="s">
        <v>535</v>
      </c>
      <c r="C33" s="206" t="s">
        <v>689</v>
      </c>
    </row>
    <row r="34" spans="1:6" x14ac:dyDescent="0.25">
      <c r="A34" s="86" t="s">
        <v>104</v>
      </c>
      <c r="B34" s="10" t="s">
        <v>537</v>
      </c>
      <c r="C34" s="206" t="s">
        <v>690</v>
      </c>
    </row>
    <row r="35" spans="1:6" x14ac:dyDescent="0.25">
      <c r="A35" s="86" t="s">
        <v>201</v>
      </c>
      <c r="B35" s="10" t="s">
        <v>538</v>
      </c>
      <c r="C35" s="206" t="s">
        <v>691</v>
      </c>
    </row>
    <row r="36" spans="1:6" x14ac:dyDescent="0.25">
      <c r="A36" s="86" t="s">
        <v>227</v>
      </c>
      <c r="B36" s="10" t="s">
        <v>539</v>
      </c>
      <c r="C36" s="206" t="s">
        <v>692</v>
      </c>
    </row>
    <row r="37" spans="1:6" x14ac:dyDescent="0.25">
      <c r="A37" s="86" t="s">
        <v>228</v>
      </c>
      <c r="B37" s="10" t="s">
        <v>540</v>
      </c>
      <c r="C37" s="206" t="s">
        <v>693</v>
      </c>
    </row>
    <row r="38" spans="1:6" x14ac:dyDescent="0.25">
      <c r="A38" s="86" t="s">
        <v>530</v>
      </c>
      <c r="B38" s="10" t="s">
        <v>541</v>
      </c>
      <c r="C38" s="206" t="s">
        <v>694</v>
      </c>
      <c r="F38" s="10" t="s">
        <v>543</v>
      </c>
    </row>
    <row r="39" spans="1:6" x14ac:dyDescent="0.25">
      <c r="A39" s="86" t="s">
        <v>531</v>
      </c>
      <c r="B39" s="10" t="s">
        <v>542</v>
      </c>
      <c r="C39" s="206" t="s">
        <v>695</v>
      </c>
    </row>
    <row r="41" spans="1:6" x14ac:dyDescent="0.25">
      <c r="A41" s="86" t="s">
        <v>255</v>
      </c>
      <c r="B41" s="166" t="s">
        <v>517</v>
      </c>
      <c r="C41" s="166" t="s">
        <v>518</v>
      </c>
    </row>
    <row r="42" spans="1:6" x14ac:dyDescent="0.25">
      <c r="A42" s="86" t="s">
        <v>384</v>
      </c>
      <c r="B42" s="166">
        <v>46146</v>
      </c>
      <c r="C42" s="166"/>
    </row>
    <row r="43" spans="1:6" x14ac:dyDescent="0.25">
      <c r="A43" s="86" t="s">
        <v>385</v>
      </c>
      <c r="B43" s="167">
        <f>B42-90</f>
        <v>46056</v>
      </c>
      <c r="C43" s="168"/>
    </row>
    <row r="44" spans="1:6" x14ac:dyDescent="0.25">
      <c r="A44" s="86" t="s">
        <v>386</v>
      </c>
      <c r="B44" s="168" t="e">
        <f>VLOOKUP(TEXT(B43,"mmm"),F14:L25,7,FALSE)</f>
        <v>#N/A</v>
      </c>
      <c r="C44" s="167"/>
    </row>
    <row r="45" spans="1:6" x14ac:dyDescent="0.25">
      <c r="A45" s="86" t="s">
        <v>381</v>
      </c>
      <c r="B45" s="169" t="str">
        <f>TEXT(((DATEVALUE(B11))-21),"mmm")</f>
        <v>May</v>
      </c>
      <c r="C45" s="169" t="s">
        <v>383</v>
      </c>
      <c r="D45" s="147"/>
    </row>
    <row r="46" spans="1:6" x14ac:dyDescent="0.25">
      <c r="A46" s="86" t="s">
        <v>382</v>
      </c>
      <c r="B46" s="167" t="e">
        <f>VLOOKUP(B45,F14:K25,6,FALSE)</f>
        <v>#N/A</v>
      </c>
      <c r="C46" s="167" t="s">
        <v>383</v>
      </c>
    </row>
    <row r="47" spans="1:6" x14ac:dyDescent="0.25">
      <c r="B47" s="78"/>
    </row>
    <row r="48" spans="1:6" x14ac:dyDescent="0.25">
      <c r="A48" s="522" t="s">
        <v>351</v>
      </c>
      <c r="B48" s="522"/>
      <c r="C48" s="522"/>
      <c r="D48" s="522"/>
    </row>
    <row r="49" spans="1:4" x14ac:dyDescent="0.25">
      <c r="A49" s="96" t="s">
        <v>352</v>
      </c>
      <c r="B49" s="10" t="s">
        <v>469</v>
      </c>
      <c r="C49" s="10" t="s">
        <v>487</v>
      </c>
      <c r="D49" s="86" t="str">
        <f>IF(Intro!$G$20="English",B49,C49)</f>
        <v>Autriche</v>
      </c>
    </row>
    <row r="50" spans="1:4" x14ac:dyDescent="0.25">
      <c r="B50" s="10" t="s">
        <v>252</v>
      </c>
      <c r="C50" s="10" t="s">
        <v>253</v>
      </c>
      <c r="D50" s="86" t="str">
        <f>IF(Intro!$G$20="English",B50,C50)</f>
        <v>États-Unis d'Amérique</v>
      </c>
    </row>
    <row r="51" spans="1:4" x14ac:dyDescent="0.25">
      <c r="A51" s="96"/>
      <c r="B51" s="10" t="s">
        <v>685</v>
      </c>
      <c r="C51" s="10" t="s">
        <v>682</v>
      </c>
      <c r="D51" s="86" t="str">
        <f>IF(Intro!$G$20="English",B51,C51)</f>
        <v>Autres pays (incluant les marchandises exportées de la Corée du Sud par Hyundai Steel Company, et les marchandises exportées de Turquie par Borusan Mannesmann Boru Sanayi ve Ticaret A.Ş.)</v>
      </c>
    </row>
    <row r="52" spans="1:4" x14ac:dyDescent="0.25">
      <c r="A52" s="96"/>
      <c r="B52" s="10" t="s">
        <v>529</v>
      </c>
      <c r="C52" s="10" t="s">
        <v>683</v>
      </c>
      <c r="D52" s="86" t="str">
        <f>IF(Intro!$G$20="English",B52,C52)</f>
        <v>Chine, Taipei chinois, Inde, Indonésie, Corée du Sud, Thaïlande, Türkiye, Ukraine et Vietnam (excluant les marchandises exportées de la Corée du Sud par Hyundai Steel Company, et les marchandises exportées de Turquie par Borusan Mannesmann Boru Sanayi ve Ticaret A.Ş.)</v>
      </c>
    </row>
    <row r="53" spans="1:4" x14ac:dyDescent="0.25">
      <c r="A53" s="96"/>
      <c r="B53" s="10" t="s">
        <v>514</v>
      </c>
      <c r="C53" s="10" t="s">
        <v>684</v>
      </c>
      <c r="D53" s="86" t="str">
        <f>IF(Intro!$G$20="English",B53,C53)</f>
        <v>Taipei chinois, Inde, Indonésie,Corée du Sud, Thaïlande, Türkiye, Ukraine et Vietnam (excluant les marchandises exportées de la Corée du Sud par Hyundai Steel Company, et les marchandises exportées de Turquie par Borusan Mannesmann Boru Sanayi ve Ticaret A.Ş.)</v>
      </c>
    </row>
    <row r="54" spans="1:4" x14ac:dyDescent="0.25">
      <c r="A54" s="96"/>
      <c r="B54" s="10" t="s">
        <v>522</v>
      </c>
      <c r="C54" s="10" t="s">
        <v>523</v>
      </c>
      <c r="D54" s="86" t="str">
        <f>IF(Intro!$G$20="English",B54,C54)</f>
        <v>Mexique</v>
      </c>
    </row>
    <row r="56" spans="1:4" x14ac:dyDescent="0.25">
      <c r="A56" s="521" t="s">
        <v>358</v>
      </c>
      <c r="B56" s="521"/>
      <c r="C56" s="521"/>
      <c r="D56" s="521"/>
    </row>
    <row r="57" spans="1:4" x14ac:dyDescent="0.25">
      <c r="D57" s="108"/>
    </row>
    <row r="58" spans="1:4" x14ac:dyDescent="0.25">
      <c r="A58" s="86" t="s">
        <v>368</v>
      </c>
      <c r="B58" s="10" t="s">
        <v>369</v>
      </c>
      <c r="C58" s="10" t="s">
        <v>371</v>
      </c>
      <c r="D58" s="86" t="str">
        <f>IF(Intro!$G$20="English",B58,C58)</f>
        <v>Oui</v>
      </c>
    </row>
    <row r="59" spans="1:4" x14ac:dyDescent="0.25">
      <c r="B59" s="10" t="s">
        <v>370</v>
      </c>
      <c r="C59" s="10" t="s">
        <v>372</v>
      </c>
      <c r="D59" s="86" t="str">
        <f>IF(Intro!$G$20="English",B59,C59)</f>
        <v>Non</v>
      </c>
    </row>
    <row r="60" spans="1:4" x14ac:dyDescent="0.25">
      <c r="D60" s="108"/>
    </row>
    <row r="61" spans="1:4" x14ac:dyDescent="0.25">
      <c r="A61" s="86" t="s">
        <v>350</v>
      </c>
      <c r="B61" s="10" t="s">
        <v>355</v>
      </c>
      <c r="C61" s="10" t="s">
        <v>356</v>
      </c>
      <c r="D61" s="86" t="str">
        <f>IF(Intro!$G$20="English",B61,C61)</f>
        <v>Distributeur</v>
      </c>
    </row>
    <row r="62" spans="1:4" x14ac:dyDescent="0.25">
      <c r="B62" s="10" t="s">
        <v>73</v>
      </c>
      <c r="C62" s="10" t="s">
        <v>63</v>
      </c>
      <c r="D62" s="86" t="str">
        <f>IF(Intro!$G$20="English",B62,C62)</f>
        <v>Utilisateur final</v>
      </c>
    </row>
    <row r="63" spans="1:4" x14ac:dyDescent="0.25">
      <c r="B63" s="10" t="s">
        <v>220</v>
      </c>
      <c r="C63" s="10" t="s">
        <v>221</v>
      </c>
      <c r="D63" s="86" t="str">
        <f>IF(Intro!$G$20="English",B63,C63)</f>
        <v>Courtier ou commerçant</v>
      </c>
    </row>
    <row r="64" spans="1:4" x14ac:dyDescent="0.25">
      <c r="B64" s="38" t="s">
        <v>328</v>
      </c>
      <c r="C64" s="38" t="s">
        <v>329</v>
      </c>
      <c r="D64" s="86" t="str">
        <f>IF(Intro!$G$20="English",B64,C64)</f>
        <v>Autre</v>
      </c>
    </row>
    <row r="66" spans="1:4" x14ac:dyDescent="0.25">
      <c r="A66" s="86" t="s">
        <v>353</v>
      </c>
      <c r="B66" s="10" t="s">
        <v>427</v>
      </c>
      <c r="C66" s="10" t="s">
        <v>428</v>
      </c>
      <c r="D66" s="86" t="str">
        <f>IF(Intro!$G$20="English",B66,C66)</f>
        <v>Vérification - volume</v>
      </c>
    </row>
    <row r="67" spans="1:4" x14ac:dyDescent="0.25">
      <c r="A67" s="86" t="s">
        <v>417</v>
      </c>
      <c r="B67" s="10" t="s">
        <v>189</v>
      </c>
      <c r="C67" s="10" t="s">
        <v>190</v>
      </c>
      <c r="D67" s="86" t="str">
        <f>IF(Intro!$G$20="English",B67,C67)</f>
        <v>Erreur</v>
      </c>
    </row>
    <row r="68" spans="1:4" x14ac:dyDescent="0.25">
      <c r="B68" s="10" t="s">
        <v>191</v>
      </c>
      <c r="C68" s="10" t="s">
        <v>254</v>
      </c>
      <c r="D68" s="86" t="str">
        <f>IF(Intro!$G$20="English",B68,C68)</f>
        <v>Correct</v>
      </c>
    </row>
    <row r="70" spans="1:4" x14ac:dyDescent="0.25">
      <c r="B70" s="10" t="s">
        <v>429</v>
      </c>
      <c r="C70" s="10" t="s">
        <v>430</v>
      </c>
      <c r="D70" s="86" t="str">
        <f>IF(Intro!$G$20="English",B70,C70)</f>
        <v>Vérification - valeur</v>
      </c>
    </row>
    <row r="71" spans="1:4" x14ac:dyDescent="0.25">
      <c r="B71" s="10" t="s">
        <v>189</v>
      </c>
      <c r="C71" s="10" t="s">
        <v>190</v>
      </c>
      <c r="D71" s="86" t="str">
        <f>IF(Intro!$G$20="English",B71,C71)</f>
        <v>Erreur</v>
      </c>
    </row>
    <row r="72" spans="1:4" x14ac:dyDescent="0.25">
      <c r="B72" s="10" t="s">
        <v>191</v>
      </c>
      <c r="C72" s="10" t="s">
        <v>254</v>
      </c>
      <c r="D72" s="86" t="str">
        <f>IF(Intro!$G$20="English",B72,C72)</f>
        <v>Correct</v>
      </c>
    </row>
    <row r="74" spans="1:4" x14ac:dyDescent="0.25">
      <c r="A74" s="86" t="s">
        <v>490</v>
      </c>
      <c r="B74" s="10" t="s">
        <v>491</v>
      </c>
      <c r="C74" s="10" t="s">
        <v>500</v>
      </c>
    </row>
    <row r="75" spans="1:4" x14ac:dyDescent="0.25">
      <c r="B75" s="10" t="s">
        <v>492</v>
      </c>
      <c r="C75" s="10" t="s">
        <v>501</v>
      </c>
    </row>
    <row r="76" spans="1:4" x14ac:dyDescent="0.25">
      <c r="B76" s="10" t="s">
        <v>494</v>
      </c>
      <c r="C76" s="10" t="s">
        <v>502</v>
      </c>
    </row>
    <row r="77" spans="1:4" x14ac:dyDescent="0.25">
      <c r="B77" s="10" t="s">
        <v>495</v>
      </c>
      <c r="C77" s="10" t="s">
        <v>503</v>
      </c>
    </row>
    <row r="78" spans="1:4" x14ac:dyDescent="0.25">
      <c r="B78" s="10" t="s">
        <v>496</v>
      </c>
      <c r="C78" s="10" t="s">
        <v>504</v>
      </c>
    </row>
    <row r="79" spans="1:4" x14ac:dyDescent="0.25">
      <c r="B79" s="10" t="s">
        <v>497</v>
      </c>
      <c r="C79" s="10" t="s">
        <v>519</v>
      </c>
    </row>
    <row r="80" spans="1:4" x14ac:dyDescent="0.25">
      <c r="B80" s="242" t="s">
        <v>493</v>
      </c>
      <c r="C80" s="10" t="s">
        <v>505</v>
      </c>
    </row>
    <row r="81" spans="2:3" x14ac:dyDescent="0.25">
      <c r="B81" s="148" t="s">
        <v>499</v>
      </c>
      <c r="C81" s="148" t="s">
        <v>507</v>
      </c>
    </row>
    <row r="82" spans="2:3" x14ac:dyDescent="0.25">
      <c r="B82" s="148" t="s">
        <v>498</v>
      </c>
      <c r="C82" s="10" t="s">
        <v>506</v>
      </c>
    </row>
    <row r="83" spans="2:3" x14ac:dyDescent="0.25">
      <c r="B83" s="10" t="s">
        <v>525</v>
      </c>
      <c r="C83" s="10" t="s">
        <v>526</v>
      </c>
    </row>
    <row r="84" spans="2:3" x14ac:dyDescent="0.25">
      <c r="B84" s="10" t="s">
        <v>527</v>
      </c>
      <c r="C84" s="10" t="s">
        <v>528</v>
      </c>
    </row>
  </sheetData>
  <sheetProtection algorithmName="SHA-512" hashValue="PQBZgRkQPbxUwKLPS3px4qYdq47GEDY/tcU4K/Rtr22TXZlzCi6GUZdBFv/5QgbfwY0ZoD+T8BIGgy2+PUBTIA==" saltValue="TvY3iZyklr5B+049eCHGjA==" spinCount="100000" sheet="1" objects="1" scenarios="1" selectLockedCells="1"/>
  <mergeCells count="3">
    <mergeCell ref="A56:D56"/>
    <mergeCell ref="A48:D48"/>
    <mergeCell ref="H13:I13"/>
  </mergeCells>
  <phoneticPr fontId="42" type="noConversion"/>
  <dataValidations count="2">
    <dataValidation type="list" allowBlank="1" showInputMessage="1" showErrorMessage="1" sqref="C4" xr:uid="{BC647F3E-121C-4516-BA76-C43E155F6A2F}">
      <formula1>"le dumping, le dumping et le subventionnement"</formula1>
    </dataValidation>
    <dataValidation type="list" allowBlank="1" showInputMessage="1" showErrorMessage="1" sqref="B4" xr:uid="{839E3129-6ED5-4045-AA92-3D342FD19477}">
      <formula1>"dumping, dumping and the subsidizing"</formula1>
    </dataValidation>
  </dataValidation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FAA86-4D5E-4853-9F46-B2DB6CC374B1}">
  <sheetPr>
    <tabColor rgb="FF92D050"/>
    <pageSetUpPr fitToPage="1"/>
  </sheetPr>
  <dimension ref="A1:S270"/>
  <sheetViews>
    <sheetView showGridLines="0" zoomScaleNormal="100" zoomScaleSheetLayoutView="55" workbookViewId="0">
      <selection activeCell="O1" sqref="O1:P1048576"/>
    </sheetView>
  </sheetViews>
  <sheetFormatPr defaultColWidth="9.140625" defaultRowHeight="14.25" x14ac:dyDescent="0.25"/>
  <cols>
    <col min="1" max="1" width="1.85546875" style="7" customWidth="1"/>
    <col min="2" max="9" width="14.5703125" style="1" customWidth="1"/>
    <col min="10" max="10" width="15" style="1" customWidth="1"/>
    <col min="11" max="12" width="14.5703125" style="1" customWidth="1"/>
    <col min="13" max="13" width="6.140625" style="9" customWidth="1"/>
    <col min="14" max="14" width="9.140625" style="10" customWidth="1"/>
    <col min="15" max="15" width="10.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Pro!B2</f>
        <v>PROTÉGÉ</v>
      </c>
      <c r="C2" s="12"/>
      <c r="D2" s="12"/>
      <c r="O2" s="207" t="s">
        <v>93</v>
      </c>
      <c r="P2" s="207" t="s">
        <v>109</v>
      </c>
    </row>
    <row r="3" spans="1:16" x14ac:dyDescent="0.25">
      <c r="B3" s="13"/>
      <c r="C3" s="13"/>
      <c r="D3" s="13"/>
      <c r="O3" s="2"/>
      <c r="P3" s="2"/>
    </row>
    <row r="4" spans="1:16" s="2" customFormat="1" x14ac:dyDescent="0.25">
      <c r="A4" s="33"/>
      <c r="B4" s="615" t="str">
        <f>Info!B4</f>
        <v>QUESTIONNAIRE À L'INTENTION DES IMPORTATEURS</v>
      </c>
      <c r="C4" s="616"/>
      <c r="D4" s="616"/>
      <c r="E4" s="616"/>
      <c r="F4" s="616"/>
      <c r="G4" s="616"/>
      <c r="H4" s="616"/>
      <c r="I4" s="616"/>
      <c r="J4" s="616"/>
      <c r="K4" s="616"/>
      <c r="L4" s="617"/>
      <c r="M4" s="25"/>
      <c r="N4" s="25"/>
      <c r="O4" s="19"/>
      <c r="P4" s="19"/>
    </row>
    <row r="5" spans="1:16" s="2" customFormat="1" x14ac:dyDescent="0.25">
      <c r="A5" s="33"/>
      <c r="B5" s="651" t="str">
        <f>Info!B5</f>
        <v>NQ-2026-001</v>
      </c>
      <c r="C5" s="652"/>
      <c r="D5" s="652"/>
      <c r="E5" s="652"/>
      <c r="F5" s="652"/>
      <c r="G5" s="652"/>
      <c r="H5" s="652"/>
      <c r="I5" s="652"/>
      <c r="J5" s="652"/>
      <c r="K5" s="652"/>
      <c r="L5" s="653"/>
      <c r="M5" s="25"/>
      <c r="N5" s="25"/>
      <c r="O5" s="19"/>
      <c r="P5" s="19"/>
    </row>
    <row r="6" spans="1:16" s="6" customFormat="1" x14ac:dyDescent="0.25">
      <c r="A6" s="33"/>
      <c r="B6" s="651" t="str">
        <f>Info!B6</f>
        <v>TUBAGES DE PUITS DE GAZ ET DE PÉTROLE</v>
      </c>
      <c r="C6" s="652"/>
      <c r="D6" s="652"/>
      <c r="E6" s="652"/>
      <c r="F6" s="652"/>
      <c r="G6" s="652"/>
      <c r="H6" s="652"/>
      <c r="I6" s="652"/>
      <c r="J6" s="652"/>
      <c r="K6" s="652"/>
      <c r="L6" s="653"/>
      <c r="M6" s="19"/>
      <c r="N6" s="19"/>
      <c r="O6" s="15"/>
      <c r="P6" s="15"/>
    </row>
    <row r="7" spans="1:16" s="6" customFormat="1" x14ac:dyDescent="0.25">
      <c r="A7" s="33"/>
      <c r="B7" s="154"/>
      <c r="C7" s="155"/>
      <c r="D7" s="155"/>
      <c r="E7" s="155"/>
      <c r="F7" s="155"/>
      <c r="G7" s="155"/>
      <c r="H7" s="155"/>
      <c r="I7" s="155"/>
      <c r="J7" s="155"/>
      <c r="K7" s="155"/>
      <c r="L7" s="156"/>
      <c r="M7" s="19"/>
      <c r="N7" s="19"/>
      <c r="O7" s="20"/>
    </row>
    <row r="8" spans="1:16" s="6" customFormat="1" x14ac:dyDescent="0.25">
      <c r="A8" s="33"/>
      <c r="B8" s="657" t="str">
        <f>Public!B8</f>
        <v>Les marchandises dans les questions suivantes font référence aux marchandises comme définies dans la description du produit de l'onglet Intro.</v>
      </c>
      <c r="C8" s="658"/>
      <c r="D8" s="658"/>
      <c r="E8" s="658"/>
      <c r="F8" s="658"/>
      <c r="G8" s="658"/>
      <c r="H8" s="658"/>
      <c r="I8" s="658"/>
      <c r="J8" s="658"/>
      <c r="K8" s="658"/>
      <c r="L8" s="659"/>
      <c r="M8" s="19"/>
      <c r="N8" s="19"/>
      <c r="O8" s="15"/>
      <c r="P8" s="15"/>
    </row>
    <row r="9" spans="1:16" s="6" customFormat="1" x14ac:dyDescent="0.25">
      <c r="A9" s="33"/>
      <c r="B9" s="657" t="str">
        <f>Public!B9</f>
        <v>Des informations sur le produit et un glossaire de termes sont disponibles dans l'onglet Info.</v>
      </c>
      <c r="C9" s="658"/>
      <c r="D9" s="658"/>
      <c r="E9" s="658"/>
      <c r="F9" s="658"/>
      <c r="G9" s="658"/>
      <c r="H9" s="658"/>
      <c r="I9" s="658"/>
      <c r="J9" s="658"/>
      <c r="K9" s="658"/>
      <c r="L9" s="659"/>
      <c r="M9" s="19"/>
      <c r="N9" s="19"/>
      <c r="O9" s="15"/>
    </row>
    <row r="10" spans="1:16" s="6" customFormat="1" ht="28.5" customHeight="1" x14ac:dyDescent="0.25">
      <c r="A10" s="33"/>
      <c r="B10" s="657" t="str">
        <f>IF(Intro!$G$20="English",O10,P10)</f>
        <v>Utilisez un onglet numéroté « Imp-Aus » pour chaque exportateur à partir duquel votre entreprise a importé. Pour obtenir des onglets « Imp-Aus » supplémentaires, contactez un analyste de cas identifié dans l'onglet « Intro ».</v>
      </c>
      <c r="C10" s="658"/>
      <c r="D10" s="658"/>
      <c r="E10" s="658"/>
      <c r="F10" s="658"/>
      <c r="G10" s="658"/>
      <c r="H10" s="658"/>
      <c r="I10" s="658"/>
      <c r="J10" s="658"/>
      <c r="K10" s="658"/>
      <c r="L10" s="659"/>
      <c r="M10" s="19"/>
      <c r="N10" s="19"/>
      <c r="O10" s="10" t="s">
        <v>680</v>
      </c>
      <c r="P10" s="10" t="s">
        <v>681</v>
      </c>
    </row>
    <row r="11" spans="1:16" s="6" customFormat="1" x14ac:dyDescent="0.25">
      <c r="A11" s="33"/>
      <c r="B11" s="657" t="str">
        <f>Pro!B12</f>
        <v>Pour les questions de cet onglet, notez ce qui suit :</v>
      </c>
      <c r="C11" s="658"/>
      <c r="D11" s="658"/>
      <c r="E11" s="658"/>
      <c r="F11" s="658"/>
      <c r="G11" s="658"/>
      <c r="H11" s="658"/>
      <c r="I11" s="658"/>
      <c r="J11" s="658"/>
      <c r="K11" s="658"/>
      <c r="L11" s="659"/>
      <c r="M11" s="19"/>
      <c r="N11" s="19"/>
      <c r="O11" s="15"/>
      <c r="P11" s="15"/>
    </row>
    <row r="12" spans="1:16" s="6" customFormat="1" ht="25.5" customHeight="1" x14ac:dyDescent="0.25">
      <c r="A12" s="33"/>
      <c r="B12" s="721" t="str">
        <f>Pro!B13</f>
        <v xml:space="preserve">• Veuillez indiquer seulement les ventes effectuées à partir des importations de votre entreprise. Les ventes de marchandises achetées auprès de producteurs canadiens doivent être exclues. </v>
      </c>
      <c r="C12" s="722"/>
      <c r="D12" s="722"/>
      <c r="E12" s="722"/>
      <c r="F12" s="722"/>
      <c r="G12" s="722"/>
      <c r="H12" s="722"/>
      <c r="I12" s="722"/>
      <c r="J12" s="722"/>
      <c r="K12" s="722"/>
      <c r="L12" s="723"/>
      <c r="M12" s="19"/>
      <c r="N12" s="19"/>
      <c r="O12" s="15"/>
      <c r="P12" s="15"/>
    </row>
    <row r="13" spans="1:16" s="6" customFormat="1" x14ac:dyDescent="0.25">
      <c r="A13" s="33"/>
      <c r="B13" s="657" t="str">
        <f>Pro!B14</f>
        <v>• Déclarez toutes les ventes aux entreprises associées canadiennes et étrangères.</v>
      </c>
      <c r="C13" s="658"/>
      <c r="D13" s="658"/>
      <c r="E13" s="658"/>
      <c r="F13" s="658"/>
      <c r="G13" s="658"/>
      <c r="H13" s="658"/>
      <c r="I13" s="658"/>
      <c r="J13" s="658"/>
      <c r="K13" s="658"/>
      <c r="L13" s="659"/>
      <c r="M13" s="19"/>
      <c r="N13" s="19"/>
      <c r="O13" s="15"/>
      <c r="P13" s="15"/>
    </row>
    <row r="14" spans="1:16" s="6" customFormat="1" x14ac:dyDescent="0.25">
      <c r="A14" s="33"/>
      <c r="B14" s="657" t="str">
        <f>Pro!B15</f>
        <v>• Déclarez toutes les ventes à compter de la date de l’expédition au client ou à son entrepôt.</v>
      </c>
      <c r="C14" s="658"/>
      <c r="D14" s="658"/>
      <c r="E14" s="658"/>
      <c r="F14" s="658"/>
      <c r="G14" s="658"/>
      <c r="H14" s="658"/>
      <c r="I14" s="658"/>
      <c r="J14" s="658"/>
      <c r="K14" s="658"/>
      <c r="L14" s="659"/>
      <c r="M14" s="19"/>
      <c r="N14" s="19"/>
      <c r="O14" s="15"/>
      <c r="P14" s="15"/>
    </row>
    <row r="15" spans="1:16" s="6" customFormat="1" x14ac:dyDescent="0.25">
      <c r="A15" s="33"/>
      <c r="B15" s="657" t="str">
        <f>Pro!B16</f>
        <v>• Déclarez toutes les valeurs en dollars canadiens.</v>
      </c>
      <c r="C15" s="658"/>
      <c r="D15" s="658"/>
      <c r="E15" s="658"/>
      <c r="F15" s="658"/>
      <c r="G15" s="658"/>
      <c r="H15" s="658"/>
      <c r="I15" s="658"/>
      <c r="J15" s="658"/>
      <c r="K15" s="658"/>
      <c r="L15" s="659"/>
      <c r="M15" s="19"/>
      <c r="N15" s="19"/>
      <c r="O15" s="15"/>
      <c r="P15" s="15"/>
    </row>
    <row r="16" spans="1:16" s="6" customFormat="1" x14ac:dyDescent="0.25">
      <c r="A16" s="33"/>
      <c r="B16" s="660" t="str">
        <f>IF(Intro!$G$20="English",O16,P16)</f>
        <v>• Si votre entreprise est un utilisateur final ou un détaillant, elle n’a pas besoin de déclarer ses ventes d’importations ou ses stocks d’importations.</v>
      </c>
      <c r="C16" s="661"/>
      <c r="D16" s="661"/>
      <c r="E16" s="661"/>
      <c r="F16" s="661"/>
      <c r="G16" s="661"/>
      <c r="H16" s="661"/>
      <c r="I16" s="661"/>
      <c r="J16" s="661"/>
      <c r="K16" s="661"/>
      <c r="L16" s="662"/>
      <c r="M16" s="19"/>
      <c r="N16" s="19"/>
      <c r="O16" s="15" t="s">
        <v>263</v>
      </c>
      <c r="P16" s="15" t="s">
        <v>264</v>
      </c>
    </row>
    <row r="17" spans="1:16" s="6" customFormat="1" x14ac:dyDescent="0.25">
      <c r="A17" s="33"/>
      <c r="B17" s="14"/>
      <c r="C17" s="14"/>
      <c r="D17" s="14"/>
      <c r="E17" s="3"/>
      <c r="F17" s="3"/>
      <c r="G17" s="3"/>
      <c r="H17" s="3"/>
      <c r="I17" s="3"/>
      <c r="J17" s="3"/>
      <c r="K17" s="3"/>
      <c r="L17" s="3"/>
      <c r="O17" s="15"/>
      <c r="P17" s="15"/>
    </row>
    <row r="18" spans="1:16" x14ac:dyDescent="0.25">
      <c r="B18" s="533" t="str">
        <f>IF(Intro!$G$20="English",O18,P18)</f>
        <v>IMPORTATIONS ET VENTES</v>
      </c>
      <c r="C18" s="534"/>
      <c r="D18" s="534"/>
      <c r="E18" s="534"/>
      <c r="F18" s="534"/>
      <c r="G18" s="534"/>
      <c r="H18" s="534"/>
      <c r="I18" s="534"/>
      <c r="J18" s="534"/>
      <c r="K18" s="534"/>
      <c r="L18" s="535"/>
      <c r="M18" s="10"/>
      <c r="O18" s="105" t="s">
        <v>333</v>
      </c>
      <c r="P18" s="105" t="s">
        <v>334</v>
      </c>
    </row>
    <row r="19" spans="1:16" x14ac:dyDescent="0.25">
      <c r="B19" s="671" t="s">
        <v>12</v>
      </c>
      <c r="C19" s="672"/>
      <c r="D19" s="672"/>
      <c r="E19" s="672"/>
      <c r="F19" s="672"/>
      <c r="G19" s="672"/>
      <c r="H19" s="672"/>
      <c r="I19" s="672"/>
      <c r="J19" s="672"/>
      <c r="K19" s="672"/>
      <c r="L19" s="673"/>
      <c r="M19" s="10"/>
    </row>
    <row r="20" spans="1:16" x14ac:dyDescent="0.25">
      <c r="B20" s="16"/>
      <c r="C20" s="35"/>
      <c r="D20" s="35"/>
      <c r="E20" s="36"/>
      <c r="F20" s="36"/>
      <c r="G20" s="36"/>
      <c r="H20" s="36"/>
      <c r="I20" s="36"/>
      <c r="J20" s="36"/>
      <c r="K20" s="36"/>
      <c r="L20" s="17"/>
      <c r="M20" s="10"/>
    </row>
    <row r="21" spans="1:16" ht="15.75" x14ac:dyDescent="0.25">
      <c r="B21" s="713" t="str">
        <f>IF(Intro!$G$20="English",O21,P21)</f>
        <v xml:space="preserve">Indiquez les importations et les ventes de marchandises de votre entreprise de : </v>
      </c>
      <c r="C21" s="715"/>
      <c r="D21" s="715"/>
      <c r="E21" s="715"/>
      <c r="F21" s="715"/>
      <c r="G21" s="739" t="str">
        <f>IF(Intro!$G$20="English",Variables!B49,Variables!C49)</f>
        <v>Autriche</v>
      </c>
      <c r="H21" s="739"/>
      <c r="I21" s="739"/>
      <c r="J21" s="739"/>
      <c r="K21" s="739"/>
      <c r="L21" s="318"/>
      <c r="M21" s="10"/>
      <c r="O21" s="10" t="s">
        <v>283</v>
      </c>
      <c r="P21" s="10" t="s">
        <v>284</v>
      </c>
    </row>
    <row r="22" spans="1:16" ht="15.75" x14ac:dyDescent="0.25">
      <c r="B22" s="743" t="str">
        <f>IF(Intro!$G$20="English",O22,P22)</f>
        <v>Nom de l'exportateur :</v>
      </c>
      <c r="C22" s="744"/>
      <c r="D22" s="744"/>
      <c r="E22" s="744"/>
      <c r="F22" s="744"/>
      <c r="G22" s="742"/>
      <c r="H22" s="742"/>
      <c r="I22" s="742"/>
      <c r="J22" s="742"/>
      <c r="K22" s="742"/>
      <c r="L22" s="318"/>
      <c r="M22" s="10"/>
      <c r="O22" s="10" t="s">
        <v>168</v>
      </c>
      <c r="P22" s="10" t="s">
        <v>169</v>
      </c>
    </row>
    <row r="23" spans="1:16" x14ac:dyDescent="0.25">
      <c r="B23" s="131"/>
      <c r="C23" s="132"/>
      <c r="D23" s="132"/>
      <c r="E23" s="132"/>
      <c r="F23" s="132"/>
      <c r="G23" s="36"/>
      <c r="H23" s="36"/>
      <c r="I23" s="36"/>
      <c r="J23" s="36"/>
      <c r="K23" s="36"/>
      <c r="L23" s="17"/>
      <c r="M23" s="10"/>
    </row>
    <row r="24" spans="1:16" x14ac:dyDescent="0.25">
      <c r="B24" s="131"/>
      <c r="C24" s="132"/>
      <c r="D24" s="132"/>
      <c r="E24" s="132"/>
      <c r="F24" s="132"/>
      <c r="G24" s="322">
        <f>Variables!$B$6</f>
        <v>2023</v>
      </c>
      <c r="H24" s="322">
        <f>G24+1</f>
        <v>2024</v>
      </c>
      <c r="I24" s="322">
        <f>H24+1</f>
        <v>2025</v>
      </c>
      <c r="J24" s="322" t="str">
        <f>IF(Intro!$G$20="English",Variables!B9,Variables!C9)</f>
        <v>janv.-mars 2025</v>
      </c>
      <c r="K24" s="322" t="str">
        <f>IF(Intro!$G$20="English",Variables!B10,Variables!C10)</f>
        <v>janv.-mars 2026</v>
      </c>
      <c r="L24" s="71"/>
      <c r="M24" s="10"/>
      <c r="O24" s="18"/>
    </row>
    <row r="25" spans="1:16" s="207" customFormat="1" x14ac:dyDescent="0.25">
      <c r="A25" s="32"/>
      <c r="B25" s="729" t="str">
        <f>IF(Intro!$G$20="English",O25,P25)</f>
        <v>Importations au Canada</v>
      </c>
      <c r="C25" s="730"/>
      <c r="D25" s="730"/>
      <c r="E25" s="730"/>
      <c r="F25" s="730"/>
      <c r="G25" s="730"/>
      <c r="H25" s="730"/>
      <c r="I25" s="730"/>
      <c r="J25" s="730"/>
      <c r="K25" s="730"/>
      <c r="L25" s="71"/>
      <c r="O25" s="26" t="s">
        <v>234</v>
      </c>
      <c r="P25" s="207" t="s">
        <v>235</v>
      </c>
    </row>
    <row r="26" spans="1:16" x14ac:dyDescent="0.25">
      <c r="B26" s="736" t="str">
        <f>IF(Intro!$G$20="English",O26,P26)</f>
        <v>Importations</v>
      </c>
      <c r="C26" s="737"/>
      <c r="D26" s="738" t="str">
        <f>IF(Intro!$G$20="English",Variables!$B$23,Variables!$C$23)</f>
        <v>tonnes</v>
      </c>
      <c r="E26" s="738"/>
      <c r="F26" s="738"/>
      <c r="G26" s="133"/>
      <c r="H26" s="133"/>
      <c r="I26" s="133"/>
      <c r="J26" s="133"/>
      <c r="K26" s="127"/>
      <c r="L26" s="71"/>
      <c r="M26" s="10"/>
      <c r="O26" s="10" t="s">
        <v>91</v>
      </c>
      <c r="P26" s="10" t="s">
        <v>170</v>
      </c>
    </row>
    <row r="27" spans="1:16" x14ac:dyDescent="0.25">
      <c r="B27" s="736"/>
      <c r="C27" s="737"/>
      <c r="D27" s="738" t="str">
        <f>IF(Intro!$G$20="English",O27,P27)</f>
        <v>valeur d'achat nette rendue (CAD)</v>
      </c>
      <c r="E27" s="738"/>
      <c r="F27" s="738"/>
      <c r="G27" s="133"/>
      <c r="H27" s="133"/>
      <c r="I27" s="133"/>
      <c r="J27" s="133"/>
      <c r="K27" s="127"/>
      <c r="L27" s="71"/>
      <c r="M27" s="10"/>
      <c r="O27" s="10" t="s">
        <v>341</v>
      </c>
      <c r="P27" s="10" t="s">
        <v>340</v>
      </c>
    </row>
    <row r="28" spans="1:16" x14ac:dyDescent="0.25">
      <c r="B28" s="736"/>
      <c r="C28" s="737"/>
      <c r="D28" s="738" t="str">
        <f>"$ / "&amp;IF(Intro!$G$20="English",Variables!$B$24,Variables!$C$24)</f>
        <v>$ / tonne</v>
      </c>
      <c r="E28" s="738"/>
      <c r="F28" s="738"/>
      <c r="G28" s="150" t="str">
        <f>IF(G26=0,"-",G27/G26)</f>
        <v>-</v>
      </c>
      <c r="H28" s="150" t="str">
        <f>IF(H26=0,"-",H27/H26)</f>
        <v>-</v>
      </c>
      <c r="I28" s="150" t="str">
        <f t="shared" ref="I28:K28" si="0">IF(I26=0,"-",I27/I26)</f>
        <v>-</v>
      </c>
      <c r="J28" s="150" t="str">
        <f t="shared" si="0"/>
        <v>-</v>
      </c>
      <c r="K28" s="150" t="str">
        <f t="shared" si="0"/>
        <v>-</v>
      </c>
      <c r="L28" s="71"/>
      <c r="M28" s="10"/>
    </row>
    <row r="29" spans="1:16" s="207" customFormat="1" x14ac:dyDescent="0.25">
      <c r="A29" s="32"/>
      <c r="B29" s="731" t="str">
        <f>IF(Intro!$G$20="English",O29,P29)</f>
        <v>Ventes au Canada</v>
      </c>
      <c r="C29" s="732"/>
      <c r="D29" s="732"/>
      <c r="E29" s="732"/>
      <c r="F29" s="732"/>
      <c r="G29" s="732"/>
      <c r="H29" s="732"/>
      <c r="I29" s="732"/>
      <c r="J29" s="732"/>
      <c r="K29" s="732"/>
      <c r="L29" s="71"/>
      <c r="O29" s="26" t="s">
        <v>236</v>
      </c>
      <c r="P29" s="207" t="s">
        <v>237</v>
      </c>
    </row>
    <row r="30" spans="1:16" s="207" customFormat="1" x14ac:dyDescent="0.25">
      <c r="A30" s="32"/>
      <c r="B30" s="731" t="str">
        <f>IF(Intro!$G$20="English",O30,P30)</f>
        <v>Sans soudure</v>
      </c>
      <c r="C30" s="732"/>
      <c r="D30" s="732"/>
      <c r="E30" s="732"/>
      <c r="F30" s="732"/>
      <c r="G30" s="732"/>
      <c r="H30" s="732"/>
      <c r="I30" s="732"/>
      <c r="J30" s="732"/>
      <c r="K30" s="732"/>
      <c r="L30" s="71"/>
      <c r="O30" s="26" t="s">
        <v>485</v>
      </c>
      <c r="P30" s="207" t="s">
        <v>508</v>
      </c>
    </row>
    <row r="31" spans="1:16" x14ac:dyDescent="0.25">
      <c r="B31" s="567" t="str">
        <f>IF(Intro!$G$20="English",O31,P31)</f>
        <v>Ventes aux distributeurs au Canada</v>
      </c>
      <c r="C31" s="568"/>
      <c r="D31" s="738" t="str">
        <f>D26</f>
        <v>tonnes</v>
      </c>
      <c r="E31" s="738"/>
      <c r="F31" s="738"/>
      <c r="G31" s="133"/>
      <c r="H31" s="133"/>
      <c r="I31" s="133"/>
      <c r="J31" s="133"/>
      <c r="K31" s="127"/>
      <c r="L31" s="71"/>
      <c r="M31" s="10"/>
      <c r="O31" s="10" t="str">
        <f>"Sales to "&amp;Variables!$B$26&amp;" in Canada"</f>
        <v>Sales to distributors in Canada</v>
      </c>
      <c r="P31" s="10" t="str">
        <f>"Ventes aux "&amp;Variables!$C$26&amp;" au Canada"</f>
        <v>Ventes aux distributeurs au Canada</v>
      </c>
    </row>
    <row r="32" spans="1:16" x14ac:dyDescent="0.25">
      <c r="B32" s="567"/>
      <c r="C32" s="568"/>
      <c r="D32" s="738" t="str">
        <f>IF(Intro!$G$20="English",O32,P32)</f>
        <v>valeur de vente nette rendue (CAD)</v>
      </c>
      <c r="E32" s="738"/>
      <c r="F32" s="738"/>
      <c r="G32" s="133"/>
      <c r="H32" s="133"/>
      <c r="I32" s="133"/>
      <c r="J32" s="133"/>
      <c r="K32" s="127"/>
      <c r="L32" s="71"/>
      <c r="M32" s="10"/>
      <c r="O32" s="10" t="s">
        <v>343</v>
      </c>
      <c r="P32" s="10" t="s">
        <v>342</v>
      </c>
    </row>
    <row r="33" spans="1:16" ht="15" thickBot="1" x14ac:dyDescent="0.3">
      <c r="B33" s="749"/>
      <c r="C33" s="750"/>
      <c r="D33" s="740" t="str">
        <f>D28</f>
        <v>$ / tonne</v>
      </c>
      <c r="E33" s="740"/>
      <c r="F33" s="740"/>
      <c r="G33" s="150" t="str">
        <f>IF(G31=0,"-",G32/G31)</f>
        <v>-</v>
      </c>
      <c r="H33" s="150" t="str">
        <f>IF(H31=0,"-",H32/H31)</f>
        <v>-</v>
      </c>
      <c r="I33" s="150" t="str">
        <f t="shared" ref="I33:K33" si="1">IF(I31=0,"-",I32/I31)</f>
        <v>-</v>
      </c>
      <c r="J33" s="150" t="str">
        <f t="shared" si="1"/>
        <v>-</v>
      </c>
      <c r="K33" s="150" t="str">
        <f t="shared" si="1"/>
        <v>-</v>
      </c>
      <c r="L33" s="71"/>
      <c r="M33" s="10"/>
    </row>
    <row r="34" spans="1:16" x14ac:dyDescent="0.25">
      <c r="B34" s="751" t="str">
        <f>IF(Intro!$G$20="English",O34,P34)</f>
        <v>Ventes aux utilisateurs finals au Canada</v>
      </c>
      <c r="C34" s="752"/>
      <c r="D34" s="741" t="str">
        <f t="shared" ref="D34:D35" si="2">D31</f>
        <v>tonnes</v>
      </c>
      <c r="E34" s="741"/>
      <c r="F34" s="741"/>
      <c r="G34" s="133"/>
      <c r="H34" s="133"/>
      <c r="I34" s="133"/>
      <c r="J34" s="133"/>
      <c r="K34" s="127"/>
      <c r="L34" s="71"/>
      <c r="M34" s="10"/>
      <c r="O34" s="10" t="str">
        <f>"Sales to "&amp;Variables!$B$27&amp;" in Canada"</f>
        <v>Sales to end users in Canada</v>
      </c>
      <c r="P34" s="10" t="str">
        <f>"Ventes aux "&amp;Variables!$C$27&amp;" au Canada"</f>
        <v>Ventes aux utilisateurs finals au Canada</v>
      </c>
    </row>
    <row r="35" spans="1:16" x14ac:dyDescent="0.25">
      <c r="B35" s="567"/>
      <c r="C35" s="568"/>
      <c r="D35" s="738" t="str">
        <f t="shared" si="2"/>
        <v>valeur de vente nette rendue (CAD)</v>
      </c>
      <c r="E35" s="738"/>
      <c r="F35" s="738"/>
      <c r="G35" s="133"/>
      <c r="H35" s="133"/>
      <c r="I35" s="133"/>
      <c r="J35" s="133"/>
      <c r="K35" s="127"/>
      <c r="L35" s="71"/>
      <c r="M35" s="10"/>
    </row>
    <row r="36" spans="1:16" ht="15" thickBot="1" x14ac:dyDescent="0.3">
      <c r="B36" s="749"/>
      <c r="C36" s="750"/>
      <c r="D36" s="740" t="str">
        <f>D33</f>
        <v>$ / tonne</v>
      </c>
      <c r="E36" s="740"/>
      <c r="F36" s="740"/>
      <c r="G36" s="150" t="str">
        <f>IF(G34=0,"-",G35/G34)</f>
        <v>-</v>
      </c>
      <c r="H36" s="150" t="str">
        <f>IF(H34=0,"-",H35/H34)</f>
        <v>-</v>
      </c>
      <c r="I36" s="150" t="str">
        <f>IF(I34=0,"-",I35/I34)</f>
        <v>-</v>
      </c>
      <c r="J36" s="150" t="str">
        <f>IF(J34=0,"-",J35/J34)</f>
        <v>-</v>
      </c>
      <c r="K36" s="150" t="str">
        <f>IF(K34=0,"-",K35/K34)</f>
        <v>-</v>
      </c>
      <c r="L36" s="71"/>
      <c r="M36" s="10"/>
    </row>
    <row r="37" spans="1:16" x14ac:dyDescent="0.25">
      <c r="B37" s="731" t="str">
        <f>IF(Intro!$G$20="English",O37,P37)</f>
        <v>Soudé</v>
      </c>
      <c r="C37" s="732"/>
      <c r="D37" s="732"/>
      <c r="E37" s="732"/>
      <c r="F37" s="732"/>
      <c r="G37" s="732"/>
      <c r="H37" s="732"/>
      <c r="I37" s="732"/>
      <c r="J37" s="732"/>
      <c r="K37" s="732"/>
      <c r="L37" s="71"/>
      <c r="M37" s="10"/>
      <c r="O37" s="26" t="s">
        <v>486</v>
      </c>
      <c r="P37" s="207" t="s">
        <v>509</v>
      </c>
    </row>
    <row r="38" spans="1:16" x14ac:dyDescent="0.25">
      <c r="B38" s="567" t="str">
        <f>IF(Intro!$G$20="English",O31,P31)</f>
        <v>Ventes aux distributeurs au Canada</v>
      </c>
      <c r="C38" s="568"/>
      <c r="D38" s="738" t="str">
        <f>D34</f>
        <v>tonnes</v>
      </c>
      <c r="E38" s="738"/>
      <c r="F38" s="738"/>
      <c r="G38" s="133"/>
      <c r="H38" s="133"/>
      <c r="I38" s="133"/>
      <c r="J38" s="133"/>
      <c r="K38" s="127"/>
      <c r="L38" s="71"/>
      <c r="M38" s="10"/>
      <c r="O38" s="10" t="s">
        <v>343</v>
      </c>
      <c r="P38" s="10" t="s">
        <v>342</v>
      </c>
    </row>
    <row r="39" spans="1:16" x14ac:dyDescent="0.25">
      <c r="B39" s="567"/>
      <c r="C39" s="568"/>
      <c r="D39" s="738" t="str">
        <f>IF(Intro!$G$20="English",O38,P38)</f>
        <v>valeur de vente nette rendue (CAD)</v>
      </c>
      <c r="E39" s="738"/>
      <c r="F39" s="738"/>
      <c r="G39" s="133"/>
      <c r="H39" s="133"/>
      <c r="I39" s="133"/>
      <c r="J39" s="133"/>
      <c r="K39" s="127"/>
      <c r="L39" s="71"/>
      <c r="M39" s="10"/>
    </row>
    <row r="40" spans="1:16" ht="15" thickBot="1" x14ac:dyDescent="0.3">
      <c r="B40" s="749"/>
      <c r="C40" s="750"/>
      <c r="D40" s="740" t="str">
        <f>D36</f>
        <v>$ / tonne</v>
      </c>
      <c r="E40" s="740"/>
      <c r="F40" s="740"/>
      <c r="G40" s="150" t="str">
        <f>IF(G38=0,"-",G39/G38)</f>
        <v>-</v>
      </c>
      <c r="H40" s="150" t="str">
        <f>IF(H38=0,"-",H39/H38)</f>
        <v>-</v>
      </c>
      <c r="I40" s="150" t="str">
        <f t="shared" ref="I40:K40" si="3">IF(I38=0,"-",I39/I38)</f>
        <v>-</v>
      </c>
      <c r="J40" s="150" t="str">
        <f t="shared" si="3"/>
        <v>-</v>
      </c>
      <c r="K40" s="150" t="str">
        <f t="shared" si="3"/>
        <v>-</v>
      </c>
      <c r="L40" s="71"/>
      <c r="M40" s="10"/>
      <c r="O40" s="10" t="str">
        <f>"Sales to "&amp;Variables!$B$27&amp;" in Canada"</f>
        <v>Sales to end users in Canada</v>
      </c>
      <c r="P40" s="10" t="str">
        <f>"Ventes aux "&amp;Variables!$C$27&amp;" au Canada"</f>
        <v>Ventes aux utilisateurs finals au Canada</v>
      </c>
    </row>
    <row r="41" spans="1:16" x14ac:dyDescent="0.25">
      <c r="B41" s="751" t="str">
        <f>IF(Intro!$G$20="English",O34,P34)</f>
        <v>Ventes aux utilisateurs finals au Canada</v>
      </c>
      <c r="C41" s="752"/>
      <c r="D41" s="741" t="str">
        <f t="shared" ref="D41:D42" si="4">D38</f>
        <v>tonnes</v>
      </c>
      <c r="E41" s="741"/>
      <c r="F41" s="741"/>
      <c r="G41" s="133"/>
      <c r="H41" s="133"/>
      <c r="I41" s="133"/>
      <c r="J41" s="133"/>
      <c r="K41" s="127"/>
      <c r="L41" s="71"/>
      <c r="M41" s="10"/>
    </row>
    <row r="42" spans="1:16" x14ac:dyDescent="0.25">
      <c r="B42" s="567"/>
      <c r="C42" s="568"/>
      <c r="D42" s="738" t="str">
        <f t="shared" si="4"/>
        <v>valeur de vente nette rendue (CAD)</v>
      </c>
      <c r="E42" s="738"/>
      <c r="F42" s="738"/>
      <c r="G42" s="133"/>
      <c r="H42" s="133"/>
      <c r="I42" s="133"/>
      <c r="J42" s="133"/>
      <c r="K42" s="127"/>
      <c r="L42" s="71"/>
      <c r="M42" s="10"/>
    </row>
    <row r="43" spans="1:16" ht="15" thickBot="1" x14ac:dyDescent="0.3">
      <c r="B43" s="749"/>
      <c r="C43" s="750"/>
      <c r="D43" s="740" t="str">
        <f>D40</f>
        <v>$ / tonne</v>
      </c>
      <c r="E43" s="740"/>
      <c r="F43" s="740"/>
      <c r="G43" s="150" t="str">
        <f>IF(G41=0,"-",G42/G41)</f>
        <v>-</v>
      </c>
      <c r="H43" s="150" t="str">
        <f>IF(H41=0,"-",H42/H41)</f>
        <v>-</v>
      </c>
      <c r="I43" s="150" t="str">
        <f>IF(I41=0,"-",I42/I41)</f>
        <v>-</v>
      </c>
      <c r="J43" s="150" t="str">
        <f>IF(J41=0,"-",J42/J41)</f>
        <v>-</v>
      </c>
      <c r="K43" s="150" t="str">
        <f>IF(K41=0,"-",K42/K41)</f>
        <v>-</v>
      </c>
      <c r="L43" s="71"/>
      <c r="M43" s="10"/>
    </row>
    <row r="44" spans="1:16" x14ac:dyDescent="0.25">
      <c r="B44" s="634" t="str">
        <f>IF(Intro!$G$20="English",O44,P44)</f>
        <v>Ventes totales au Canada</v>
      </c>
      <c r="C44" s="635"/>
      <c r="D44" s="766" t="str">
        <f>D34</f>
        <v>tonnes</v>
      </c>
      <c r="E44" s="766"/>
      <c r="F44" s="766"/>
      <c r="G44" s="135">
        <f t="shared" ref="G44:K45" si="5">G31+G34+G38+G41</f>
        <v>0</v>
      </c>
      <c r="H44" s="135">
        <f t="shared" si="5"/>
        <v>0</v>
      </c>
      <c r="I44" s="135">
        <f t="shared" si="5"/>
        <v>0</v>
      </c>
      <c r="J44" s="135">
        <f t="shared" si="5"/>
        <v>0</v>
      </c>
      <c r="K44" s="135">
        <f t="shared" si="5"/>
        <v>0</v>
      </c>
      <c r="L44" s="71"/>
      <c r="M44" s="10"/>
      <c r="O44" s="10" t="s">
        <v>344</v>
      </c>
      <c r="P44" s="10" t="s">
        <v>345</v>
      </c>
    </row>
    <row r="45" spans="1:16" x14ac:dyDescent="0.25">
      <c r="B45" s="623"/>
      <c r="C45" s="624"/>
      <c r="D45" s="767" t="str">
        <f>D35</f>
        <v>valeur de vente nette rendue (CAD)</v>
      </c>
      <c r="E45" s="767"/>
      <c r="F45" s="767"/>
      <c r="G45" s="134">
        <f t="shared" si="5"/>
        <v>0</v>
      </c>
      <c r="H45" s="134">
        <f t="shared" si="5"/>
        <v>0</v>
      </c>
      <c r="I45" s="134">
        <f t="shared" si="5"/>
        <v>0</v>
      </c>
      <c r="J45" s="134">
        <f t="shared" si="5"/>
        <v>0</v>
      </c>
      <c r="K45" s="134">
        <f t="shared" si="5"/>
        <v>0</v>
      </c>
      <c r="L45" s="71"/>
      <c r="M45" s="10"/>
    </row>
    <row r="46" spans="1:16" x14ac:dyDescent="0.25">
      <c r="B46" s="623"/>
      <c r="C46" s="624"/>
      <c r="D46" s="767" t="str">
        <f>D36</f>
        <v>$ / tonne</v>
      </c>
      <c r="E46" s="767"/>
      <c r="F46" s="767"/>
      <c r="G46" s="150" t="str">
        <f>IF(G44=0,"-",G45/G44)</f>
        <v>-</v>
      </c>
      <c r="H46" s="150" t="str">
        <f>IF(H44=0,"-",H45/H44)</f>
        <v>-</v>
      </c>
      <c r="I46" s="150" t="str">
        <f>IF(I44=0,"-",I45/I44)</f>
        <v>-</v>
      </c>
      <c r="J46" s="150" t="str">
        <f t="shared" ref="J46:K46" si="6">IF(J44=0,"-",J45/J44)</f>
        <v>-</v>
      </c>
      <c r="K46" s="150" t="str">
        <f t="shared" si="6"/>
        <v>-</v>
      </c>
      <c r="L46" s="71"/>
      <c r="M46" s="10"/>
    </row>
    <row r="47" spans="1:16" x14ac:dyDescent="0.25">
      <c r="B47" s="72"/>
      <c r="C47" s="82"/>
      <c r="D47" s="82"/>
      <c r="E47" s="82"/>
      <c r="F47" s="82"/>
      <c r="G47" s="82"/>
      <c r="H47" s="82"/>
      <c r="I47" s="82"/>
      <c r="J47" s="82"/>
      <c r="K47" s="82"/>
      <c r="L47" s="83"/>
      <c r="M47" s="10"/>
    </row>
    <row r="48" spans="1:16" s="207" customFormat="1" x14ac:dyDescent="0.25">
      <c r="A48" s="7"/>
      <c r="B48" s="31"/>
      <c r="C48" s="31"/>
      <c r="D48" s="89"/>
      <c r="E48" s="319"/>
      <c r="F48" s="319"/>
      <c r="G48" s="319"/>
      <c r="H48" s="319"/>
      <c r="I48" s="319"/>
      <c r="J48" s="319"/>
      <c r="K48" s="319"/>
      <c r="L48" s="319"/>
      <c r="M48" s="73"/>
    </row>
    <row r="49" spans="1:16" x14ac:dyDescent="0.25">
      <c r="B49" s="533" t="str">
        <f>IF(Intro!$G$20="English",O49,P49)</f>
        <v>VENTES AU CANADA D'IMPORTATIONS À VOS CINQ PLUS IMPORTANTS CLIENTS</v>
      </c>
      <c r="C49" s="534"/>
      <c r="D49" s="534"/>
      <c r="E49" s="534"/>
      <c r="F49" s="534"/>
      <c r="G49" s="534"/>
      <c r="H49" s="534"/>
      <c r="I49" s="534"/>
      <c r="J49" s="534"/>
      <c r="K49" s="534"/>
      <c r="L49" s="535"/>
      <c r="M49" s="10"/>
      <c r="O49" s="105" t="s">
        <v>335</v>
      </c>
      <c r="P49" s="105" t="s">
        <v>397</v>
      </c>
    </row>
    <row r="50" spans="1:16" s="207" customFormat="1" x14ac:dyDescent="0.25">
      <c r="A50" s="7"/>
      <c r="B50" s="671" t="s">
        <v>15</v>
      </c>
      <c r="C50" s="672"/>
      <c r="D50" s="672"/>
      <c r="E50" s="672"/>
      <c r="F50" s="672"/>
      <c r="G50" s="672"/>
      <c r="H50" s="672"/>
      <c r="I50" s="672"/>
      <c r="J50" s="672"/>
      <c r="K50" s="672"/>
      <c r="L50" s="673"/>
      <c r="M50" s="73"/>
      <c r="O50" s="10"/>
    </row>
    <row r="51" spans="1:16" x14ac:dyDescent="0.25">
      <c r="B51" s="16"/>
      <c r="C51" s="35"/>
      <c r="D51" s="35"/>
      <c r="E51" s="36"/>
      <c r="F51" s="36"/>
      <c r="G51" s="36"/>
      <c r="H51" s="36"/>
      <c r="I51" s="36"/>
      <c r="J51" s="36"/>
      <c r="K51" s="36"/>
      <c r="L51" s="17"/>
      <c r="M51" s="10"/>
    </row>
    <row r="52" spans="1:16" x14ac:dyDescent="0.25">
      <c r="B52" s="530" t="str">
        <f>IF(Intro!$G$20="English",O52,P52)</f>
        <v>Déclarez le volume et la valeur des ventes d'importations au Canada pour chaque compte indiqué ci-dessous :</v>
      </c>
      <c r="C52" s="531"/>
      <c r="D52" s="531"/>
      <c r="E52" s="531"/>
      <c r="F52" s="531"/>
      <c r="G52" s="531"/>
      <c r="H52" s="531"/>
      <c r="I52" s="531"/>
      <c r="J52" s="531"/>
      <c r="K52" s="531"/>
      <c r="L52" s="532"/>
      <c r="M52" s="10"/>
      <c r="O52" s="18" t="s">
        <v>172</v>
      </c>
      <c r="P52" s="10" t="s">
        <v>173</v>
      </c>
    </row>
    <row r="53" spans="1:16" x14ac:dyDescent="0.25">
      <c r="B53" s="530" t="str">
        <f>Pro!B22</f>
        <v>Note - Ne répondez à cette question que si votre entreprise a vendu les marchandises du 1er janvier 2023 au 31 mars 2026.</v>
      </c>
      <c r="C53" s="531"/>
      <c r="D53" s="531"/>
      <c r="E53" s="531"/>
      <c r="F53" s="531"/>
      <c r="G53" s="531"/>
      <c r="H53" s="531"/>
      <c r="I53" s="531"/>
      <c r="J53" s="531"/>
      <c r="K53" s="531"/>
      <c r="L53" s="532"/>
      <c r="M53" s="10"/>
      <c r="O53" s="18"/>
    </row>
    <row r="54" spans="1:16" x14ac:dyDescent="0.25">
      <c r="B54" s="316"/>
      <c r="C54" s="317"/>
      <c r="D54" s="35"/>
      <c r="E54" s="36"/>
      <c r="F54" s="36"/>
      <c r="G54" s="36"/>
      <c r="H54" s="36"/>
      <c r="I54" s="36"/>
      <c r="J54" s="36"/>
      <c r="K54" s="36"/>
      <c r="L54" s="17"/>
      <c r="M54" s="10"/>
      <c r="O54" s="18"/>
    </row>
    <row r="55" spans="1:16" x14ac:dyDescent="0.25">
      <c r="B55" s="772"/>
      <c r="C55" s="773"/>
      <c r="D55" s="774"/>
      <c r="E55" s="320" t="str">
        <f>IF(Intro!$G$20="English","Q","T")&amp;IF(MID(F55,2,1)&lt;&gt;"1",MID(F55,2,1)-1&amp;" - "&amp;MID(F55,6,4),"4 - "&amp;MID(F55,6,4)-1)</f>
        <v>T2 - 2024</v>
      </c>
      <c r="F55" s="320" t="str">
        <f>IF(Intro!$G$20="English","Q","T")&amp;IF(MID(G55,2,1)&lt;&gt;"1",MID(G55,2,1)-1&amp;" - "&amp;MID(G55,6,4),"4 - "&amp;MID(G55,6,4)-1)</f>
        <v>T3 - 2024</v>
      </c>
      <c r="G55" s="320" t="str">
        <f>IF(Intro!$G$20="English","Q","T")&amp;IF(MID(H55,2,1)&lt;&gt;"1",MID(H55,2,1)-1&amp;" - "&amp;MID(H55,6,4),"4 - "&amp;MID(H55,6,4)-1)</f>
        <v>T4 - 2024</v>
      </c>
      <c r="H55" s="320" t="str">
        <f>IF(Intro!$G$20="English","Q","T")&amp;IF(MID(I55,2,1)&lt;&gt;"1",MID(I55,2,1)-1&amp;" - "&amp;MID(I55,6,4),"4 - "&amp;MID(I55,6,4)-1)</f>
        <v>T1 - 2025</v>
      </c>
      <c r="I55" s="320" t="str">
        <f>IF(Intro!$G$20="English","Q","T")&amp;IF(MID(J55,2,1)&lt;&gt;"1",MID(J55,2,1)-1&amp;" - "&amp;MID(J55,6,4),"4 - "&amp;MID(J55,6,4)-1)</f>
        <v>T2 - 2025</v>
      </c>
      <c r="J55" s="320" t="str">
        <f>IF(Intro!$G$20="English","Q","T")&amp;IF(MID(K55,2,1)&lt;&gt;"1",MID(K55,2,1)-1&amp;" - "&amp;MID(K55,6,4),"4 - "&amp;MID(K55,6,4)-1)</f>
        <v>T3 - 2025</v>
      </c>
      <c r="K55" s="320" t="str">
        <f>IF(Intro!$G$20="English","Q","T")&amp;IF(MID(L55,2,1)&lt;&gt;"1",MID(L55,2,1)-1&amp;" - "&amp;MID(L55,6,4),"4 - "&amp;MID(L55,6,4)-1)</f>
        <v>T4 - 2025</v>
      </c>
      <c r="L55" s="321" t="str">
        <f>IF(Intro!$G$20="English",Variables!B29&amp;" - ",Variables!C29&amp;" - ")&amp;Variables!B8</f>
        <v>T1 - 2026</v>
      </c>
      <c r="M55" s="10"/>
      <c r="O55" s="18"/>
    </row>
    <row r="56" spans="1:16" x14ac:dyDescent="0.25">
      <c r="B56" s="733" t="str">
        <f>IF(Intro!$G$20="English",O57,P57)</f>
        <v xml:space="preserve">Client 1 - </v>
      </c>
      <c r="C56" s="734"/>
      <c r="D56" s="734"/>
      <c r="E56" s="734"/>
      <c r="F56" s="734"/>
      <c r="G56" s="734"/>
      <c r="H56" s="734"/>
      <c r="I56" s="734"/>
      <c r="J56" s="734"/>
      <c r="K56" s="734"/>
      <c r="L56" s="735"/>
      <c r="M56" s="10"/>
      <c r="O56" s="18"/>
    </row>
    <row r="57" spans="1:16" x14ac:dyDescent="0.25">
      <c r="B57" s="747" t="str">
        <f>D$31</f>
        <v>tonnes</v>
      </c>
      <c r="C57" s="748"/>
      <c r="D57" s="748"/>
      <c r="E57" s="137"/>
      <c r="F57" s="137"/>
      <c r="G57" s="137"/>
      <c r="H57" s="137"/>
      <c r="I57" s="137"/>
      <c r="J57" s="137"/>
      <c r="K57" s="137"/>
      <c r="L57" s="138"/>
      <c r="M57" s="10"/>
      <c r="O57" s="10" t="str">
        <f>"Account 1 - "&amp;Pro!C119</f>
        <v xml:space="preserve">Account 1 - </v>
      </c>
      <c r="P57" s="10" t="str">
        <f>"Client 1 - "&amp;Pro!C119</f>
        <v xml:space="preserve">Client 1 - </v>
      </c>
    </row>
    <row r="58" spans="1:16" x14ac:dyDescent="0.25">
      <c r="B58" s="747" t="str">
        <f>D$32</f>
        <v>valeur de vente nette rendue (CAD)</v>
      </c>
      <c r="C58" s="748"/>
      <c r="D58" s="748"/>
      <c r="E58" s="137"/>
      <c r="F58" s="137"/>
      <c r="G58" s="137"/>
      <c r="H58" s="137"/>
      <c r="I58" s="137"/>
      <c r="J58" s="137"/>
      <c r="K58" s="137"/>
      <c r="L58" s="138"/>
      <c r="M58" s="10"/>
    </row>
    <row r="59" spans="1:16" x14ac:dyDescent="0.25">
      <c r="B59" s="747" t="str">
        <f>D$33</f>
        <v>$ / tonne</v>
      </c>
      <c r="C59" s="748"/>
      <c r="D59" s="748"/>
      <c r="E59" s="151" t="str">
        <f>IF(E57=0,"-",E58/E57)</f>
        <v>-</v>
      </c>
      <c r="F59" s="151" t="str">
        <f t="shared" ref="F59:L59" si="7">IF(F57=0,"-",F58/F57)</f>
        <v>-</v>
      </c>
      <c r="G59" s="151" t="str">
        <f t="shared" si="7"/>
        <v>-</v>
      </c>
      <c r="H59" s="151" t="str">
        <f t="shared" si="7"/>
        <v>-</v>
      </c>
      <c r="I59" s="151" t="str">
        <f t="shared" si="7"/>
        <v>-</v>
      </c>
      <c r="J59" s="151" t="str">
        <f t="shared" si="7"/>
        <v>-</v>
      </c>
      <c r="K59" s="151" t="str">
        <f t="shared" si="7"/>
        <v>-</v>
      </c>
      <c r="L59" s="152" t="str">
        <f t="shared" si="7"/>
        <v>-</v>
      </c>
      <c r="M59" s="10"/>
    </row>
    <row r="60" spans="1:16" x14ac:dyDescent="0.25">
      <c r="B60" s="733" t="str">
        <f>IF(Intro!$G$20="English",O61,P61)</f>
        <v xml:space="preserve">Client 2 - </v>
      </c>
      <c r="C60" s="734"/>
      <c r="D60" s="734"/>
      <c r="E60" s="734"/>
      <c r="F60" s="734"/>
      <c r="G60" s="734"/>
      <c r="H60" s="734"/>
      <c r="I60" s="734"/>
      <c r="J60" s="734"/>
      <c r="K60" s="734"/>
      <c r="L60" s="735"/>
      <c r="M60" s="10"/>
    </row>
    <row r="61" spans="1:16" x14ac:dyDescent="0.25">
      <c r="B61" s="747" t="str">
        <f>D$31</f>
        <v>tonnes</v>
      </c>
      <c r="C61" s="748"/>
      <c r="D61" s="748"/>
      <c r="E61" s="137"/>
      <c r="F61" s="137"/>
      <c r="G61" s="137"/>
      <c r="H61" s="137"/>
      <c r="I61" s="137"/>
      <c r="J61" s="137"/>
      <c r="K61" s="137"/>
      <c r="L61" s="138"/>
      <c r="M61" s="10"/>
      <c r="O61" s="10" t="str">
        <f>"Account 2 - "&amp;Pro!C120</f>
        <v xml:space="preserve">Account 2 - </v>
      </c>
      <c r="P61" s="10" t="str">
        <f>"Client 2 - "&amp;Pro!C120</f>
        <v xml:space="preserve">Client 2 - </v>
      </c>
    </row>
    <row r="62" spans="1:16" x14ac:dyDescent="0.25">
      <c r="B62" s="747" t="str">
        <f>D$32</f>
        <v>valeur de vente nette rendue (CAD)</v>
      </c>
      <c r="C62" s="748"/>
      <c r="D62" s="748"/>
      <c r="E62" s="137"/>
      <c r="F62" s="137"/>
      <c r="G62" s="137"/>
      <c r="H62" s="137"/>
      <c r="I62" s="137"/>
      <c r="J62" s="137"/>
      <c r="K62" s="137"/>
      <c r="L62" s="138"/>
      <c r="M62" s="10"/>
    </row>
    <row r="63" spans="1:16" x14ac:dyDescent="0.25">
      <c r="B63" s="747" t="str">
        <f>D$33</f>
        <v>$ / tonne</v>
      </c>
      <c r="C63" s="748"/>
      <c r="D63" s="748"/>
      <c r="E63" s="151" t="str">
        <f>IF(E61=0,"-",E62/E61)</f>
        <v>-</v>
      </c>
      <c r="F63" s="151" t="str">
        <f t="shared" ref="F63:L63" si="8">IF(F61=0,"-",F62/F61)</f>
        <v>-</v>
      </c>
      <c r="G63" s="151" t="str">
        <f t="shared" si="8"/>
        <v>-</v>
      </c>
      <c r="H63" s="151" t="str">
        <f t="shared" si="8"/>
        <v>-</v>
      </c>
      <c r="I63" s="151" t="str">
        <f t="shared" si="8"/>
        <v>-</v>
      </c>
      <c r="J63" s="151" t="str">
        <f t="shared" si="8"/>
        <v>-</v>
      </c>
      <c r="K63" s="151" t="str">
        <f t="shared" si="8"/>
        <v>-</v>
      </c>
      <c r="L63" s="152" t="str">
        <f t="shared" si="8"/>
        <v>-</v>
      </c>
      <c r="M63" s="10"/>
    </row>
    <row r="64" spans="1:16" x14ac:dyDescent="0.25">
      <c r="B64" s="733" t="str">
        <f>IF(Intro!$G$20="English",O65,P65)</f>
        <v xml:space="preserve">Client 3 - </v>
      </c>
      <c r="C64" s="734"/>
      <c r="D64" s="734"/>
      <c r="E64" s="734"/>
      <c r="F64" s="734"/>
      <c r="G64" s="734"/>
      <c r="H64" s="734"/>
      <c r="I64" s="734"/>
      <c r="J64" s="734"/>
      <c r="K64" s="734"/>
      <c r="L64" s="735"/>
      <c r="M64" s="10"/>
    </row>
    <row r="65" spans="2:19" x14ac:dyDescent="0.25">
      <c r="B65" s="747" t="str">
        <f>D$31</f>
        <v>tonnes</v>
      </c>
      <c r="C65" s="748"/>
      <c r="D65" s="748"/>
      <c r="E65" s="137"/>
      <c r="F65" s="137"/>
      <c r="G65" s="137"/>
      <c r="H65" s="137"/>
      <c r="I65" s="137"/>
      <c r="J65" s="137"/>
      <c r="K65" s="137"/>
      <c r="L65" s="138"/>
      <c r="M65" s="10"/>
      <c r="O65" s="10" t="str">
        <f>"Account 3 - "&amp;Pro!C121</f>
        <v xml:space="preserve">Account 3 - </v>
      </c>
      <c r="P65" s="10" t="str">
        <f>"Client 3 - "&amp;Pro!C121</f>
        <v xml:space="preserve">Client 3 - </v>
      </c>
    </row>
    <row r="66" spans="2:19" x14ac:dyDescent="0.25">
      <c r="B66" s="747" t="str">
        <f>D$32</f>
        <v>valeur de vente nette rendue (CAD)</v>
      </c>
      <c r="C66" s="748"/>
      <c r="D66" s="748"/>
      <c r="E66" s="137"/>
      <c r="F66" s="137"/>
      <c r="G66" s="137"/>
      <c r="H66" s="137"/>
      <c r="I66" s="137"/>
      <c r="J66" s="137"/>
      <c r="K66" s="137"/>
      <c r="L66" s="138"/>
      <c r="M66" s="10"/>
    </row>
    <row r="67" spans="2:19" x14ac:dyDescent="0.25">
      <c r="B67" s="747" t="str">
        <f>D$33</f>
        <v>$ / tonne</v>
      </c>
      <c r="C67" s="748"/>
      <c r="D67" s="748"/>
      <c r="E67" s="151" t="str">
        <f>IF(E65=0,"-",E66/E65)</f>
        <v>-</v>
      </c>
      <c r="F67" s="151" t="str">
        <f t="shared" ref="F67:L67" si="9">IF(F65=0,"-",F66/F65)</f>
        <v>-</v>
      </c>
      <c r="G67" s="151" t="str">
        <f t="shared" si="9"/>
        <v>-</v>
      </c>
      <c r="H67" s="151" t="str">
        <f t="shared" si="9"/>
        <v>-</v>
      </c>
      <c r="I67" s="151" t="str">
        <f t="shared" si="9"/>
        <v>-</v>
      </c>
      <c r="J67" s="151" t="str">
        <f t="shared" si="9"/>
        <v>-</v>
      </c>
      <c r="K67" s="151" t="str">
        <f t="shared" si="9"/>
        <v>-</v>
      </c>
      <c r="L67" s="152" t="str">
        <f t="shared" si="9"/>
        <v>-</v>
      </c>
      <c r="M67" s="10"/>
    </row>
    <row r="68" spans="2:19" x14ac:dyDescent="0.25">
      <c r="B68" s="733" t="str">
        <f>IF(Intro!$G$20="English",O69,P69)</f>
        <v xml:space="preserve">Client 4 - </v>
      </c>
      <c r="C68" s="734"/>
      <c r="D68" s="734"/>
      <c r="E68" s="734"/>
      <c r="F68" s="734"/>
      <c r="G68" s="734"/>
      <c r="H68" s="734"/>
      <c r="I68" s="734"/>
      <c r="J68" s="734"/>
      <c r="K68" s="734"/>
      <c r="L68" s="735"/>
      <c r="M68" s="10"/>
    </row>
    <row r="69" spans="2:19" x14ac:dyDescent="0.25">
      <c r="B69" s="747" t="str">
        <f>D$31</f>
        <v>tonnes</v>
      </c>
      <c r="C69" s="748"/>
      <c r="D69" s="748"/>
      <c r="E69" s="137"/>
      <c r="F69" s="137"/>
      <c r="G69" s="137"/>
      <c r="H69" s="137"/>
      <c r="I69" s="137"/>
      <c r="J69" s="137"/>
      <c r="K69" s="137"/>
      <c r="L69" s="138"/>
      <c r="M69" s="10"/>
      <c r="O69" s="10" t="str">
        <f>"Account 4 - "&amp;Pro!C122</f>
        <v xml:space="preserve">Account 4 - </v>
      </c>
      <c r="P69" s="10" t="str">
        <f>"Client 4 - "&amp;Pro!C122</f>
        <v xml:space="preserve">Client 4 - </v>
      </c>
    </row>
    <row r="70" spans="2:19" x14ac:dyDescent="0.25">
      <c r="B70" s="747" t="str">
        <f>D$32</f>
        <v>valeur de vente nette rendue (CAD)</v>
      </c>
      <c r="C70" s="748"/>
      <c r="D70" s="748"/>
      <c r="E70" s="137"/>
      <c r="F70" s="137"/>
      <c r="G70" s="137"/>
      <c r="H70" s="137"/>
      <c r="I70" s="137"/>
      <c r="J70" s="137"/>
      <c r="K70" s="137"/>
      <c r="L70" s="138"/>
      <c r="M70" s="10"/>
    </row>
    <row r="71" spans="2:19" x14ac:dyDescent="0.25">
      <c r="B71" s="747" t="str">
        <f>D$33</f>
        <v>$ / tonne</v>
      </c>
      <c r="C71" s="748"/>
      <c r="D71" s="748"/>
      <c r="E71" s="151" t="str">
        <f>IF(E69=0,"-",E70/E69)</f>
        <v>-</v>
      </c>
      <c r="F71" s="151" t="str">
        <f t="shared" ref="F71:L71" si="10">IF(F69=0,"-",F70/F69)</f>
        <v>-</v>
      </c>
      <c r="G71" s="151" t="str">
        <f t="shared" si="10"/>
        <v>-</v>
      </c>
      <c r="H71" s="151" t="str">
        <f t="shared" si="10"/>
        <v>-</v>
      </c>
      <c r="I71" s="151" t="str">
        <f t="shared" si="10"/>
        <v>-</v>
      </c>
      <c r="J71" s="151" t="str">
        <f t="shared" si="10"/>
        <v>-</v>
      </c>
      <c r="K71" s="151" t="str">
        <f t="shared" si="10"/>
        <v>-</v>
      </c>
      <c r="L71" s="152" t="str">
        <f t="shared" si="10"/>
        <v>-</v>
      </c>
      <c r="M71" s="10"/>
    </row>
    <row r="72" spans="2:19" x14ac:dyDescent="0.25">
      <c r="B72" s="733" t="str">
        <f>IF(Intro!$G$20="English",O73,P73)</f>
        <v xml:space="preserve">Client 5 - </v>
      </c>
      <c r="C72" s="734"/>
      <c r="D72" s="734"/>
      <c r="E72" s="734"/>
      <c r="F72" s="734"/>
      <c r="G72" s="734"/>
      <c r="H72" s="734"/>
      <c r="I72" s="734"/>
      <c r="J72" s="734"/>
      <c r="K72" s="734"/>
      <c r="L72" s="735"/>
      <c r="M72" s="10"/>
    </row>
    <row r="73" spans="2:19" x14ac:dyDescent="0.25">
      <c r="B73" s="747" t="str">
        <f>D$31</f>
        <v>tonnes</v>
      </c>
      <c r="C73" s="748"/>
      <c r="D73" s="748"/>
      <c r="E73" s="137"/>
      <c r="F73" s="137"/>
      <c r="G73" s="137"/>
      <c r="H73" s="137"/>
      <c r="I73" s="137"/>
      <c r="J73" s="137"/>
      <c r="K73" s="137"/>
      <c r="L73" s="138"/>
      <c r="M73" s="10"/>
      <c r="O73" s="10" t="str">
        <f>"Account 5 - "&amp;Pro!C123</f>
        <v xml:space="preserve">Account 5 - </v>
      </c>
      <c r="P73" s="10" t="str">
        <f>"Client 5 - "&amp;Pro!C123</f>
        <v xml:space="preserve">Client 5 - </v>
      </c>
    </row>
    <row r="74" spans="2:19" x14ac:dyDescent="0.25">
      <c r="B74" s="747" t="str">
        <f>D$32</f>
        <v>valeur de vente nette rendue (CAD)</v>
      </c>
      <c r="C74" s="748"/>
      <c r="D74" s="748"/>
      <c r="E74" s="137"/>
      <c r="F74" s="137"/>
      <c r="G74" s="137"/>
      <c r="H74" s="137"/>
      <c r="I74" s="137"/>
      <c r="J74" s="137"/>
      <c r="K74" s="137"/>
      <c r="L74" s="138"/>
      <c r="M74" s="10"/>
    </row>
    <row r="75" spans="2:19" x14ac:dyDescent="0.25">
      <c r="B75" s="747" t="str">
        <f>D$33</f>
        <v>$ / tonne</v>
      </c>
      <c r="C75" s="748"/>
      <c r="D75" s="748"/>
      <c r="E75" s="151" t="str">
        <f>IF(E73=0,"-",E74/E73)</f>
        <v>-</v>
      </c>
      <c r="F75" s="151" t="str">
        <f t="shared" ref="F75:L75" si="11">IF(F73=0,"-",F74/F73)</f>
        <v>-</v>
      </c>
      <c r="G75" s="151" t="str">
        <f t="shared" si="11"/>
        <v>-</v>
      </c>
      <c r="H75" s="151" t="str">
        <f t="shared" si="11"/>
        <v>-</v>
      </c>
      <c r="I75" s="151" t="str">
        <f t="shared" si="11"/>
        <v>-</v>
      </c>
      <c r="J75" s="151" t="str">
        <f t="shared" si="11"/>
        <v>-</v>
      </c>
      <c r="K75" s="151" t="str">
        <f t="shared" si="11"/>
        <v>-</v>
      </c>
      <c r="L75" s="152" t="str">
        <f t="shared" si="11"/>
        <v>-</v>
      </c>
      <c r="M75" s="10"/>
    </row>
    <row r="76" spans="2:19" x14ac:dyDescent="0.25">
      <c r="B76" s="316"/>
      <c r="C76" s="317"/>
      <c r="D76" s="317"/>
      <c r="E76" s="29"/>
      <c r="F76" s="29"/>
      <c r="G76" s="29"/>
      <c r="H76" s="29"/>
      <c r="I76" s="29"/>
      <c r="J76" s="29"/>
      <c r="K76" s="29"/>
      <c r="L76" s="30"/>
      <c r="M76" s="10"/>
    </row>
    <row r="77" spans="2:19" x14ac:dyDescent="0.25">
      <c r="B77" s="530" t="str">
        <f>IF(Intro!$G$20="English",O77,P77)</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7" s="531"/>
      <c r="D77" s="531"/>
      <c r="E77" s="531"/>
      <c r="F77" s="531"/>
      <c r="G77" s="531"/>
      <c r="H77" s="531"/>
      <c r="I77" s="531"/>
      <c r="J77" s="531"/>
      <c r="K77" s="531"/>
      <c r="L77" s="532"/>
      <c r="M77" s="10"/>
      <c r="O77" s="10" t="s">
        <v>359</v>
      </c>
      <c r="P77" s="10" t="s">
        <v>360</v>
      </c>
      <c r="S77" s="38"/>
    </row>
    <row r="78" spans="2:19" x14ac:dyDescent="0.25">
      <c r="B78" s="530"/>
      <c r="C78" s="531"/>
      <c r="D78" s="531"/>
      <c r="E78" s="531"/>
      <c r="F78" s="531"/>
      <c r="G78" s="531"/>
      <c r="H78" s="531"/>
      <c r="I78" s="531"/>
      <c r="J78" s="531"/>
      <c r="K78" s="531"/>
      <c r="L78" s="532"/>
      <c r="M78" s="10"/>
      <c r="S78" s="38"/>
    </row>
    <row r="79" spans="2:19" x14ac:dyDescent="0.25">
      <c r="B79" s="316"/>
      <c r="C79" s="317"/>
      <c r="D79" s="317"/>
      <c r="E79" s="29"/>
      <c r="F79" s="29"/>
      <c r="G79" s="29"/>
      <c r="H79" s="29"/>
      <c r="I79" s="29"/>
      <c r="J79" s="29"/>
      <c r="K79" s="29"/>
      <c r="L79" s="30"/>
      <c r="M79" s="10"/>
      <c r="S79" s="38"/>
    </row>
    <row r="80" spans="2:19" ht="14.1" customHeight="1" x14ac:dyDescent="0.25">
      <c r="B80" s="753" t="str">
        <f>Variables!D66</f>
        <v>Vérification - volume</v>
      </c>
      <c r="C80" s="644"/>
      <c r="D80" s="644"/>
      <c r="E80" s="644"/>
      <c r="F80" s="645"/>
      <c r="G80" s="320">
        <f>H80-1</f>
        <v>2024</v>
      </c>
      <c r="H80" s="320">
        <f>Variables!B8-1</f>
        <v>2025</v>
      </c>
      <c r="I80" s="320" t="str">
        <f>J24</f>
        <v>janv.-mars 2025</v>
      </c>
      <c r="J80" s="320" t="str">
        <f>K24</f>
        <v>janv.-mars 2026</v>
      </c>
      <c r="K80" s="225"/>
      <c r="L80" s="226"/>
      <c r="M80" s="10"/>
      <c r="O80" s="10" t="s">
        <v>379</v>
      </c>
      <c r="P80" s="10" t="s">
        <v>380</v>
      </c>
    </row>
    <row r="81" spans="1:16" ht="14.1" customHeight="1" x14ac:dyDescent="0.25">
      <c r="B81" s="757" t="str">
        <f>D31</f>
        <v>tonnes</v>
      </c>
      <c r="C81" s="758"/>
      <c r="D81" s="758"/>
      <c r="E81" s="758"/>
      <c r="F81" s="759"/>
      <c r="G81" s="187" t="str">
        <f>IF(SUM(E57:G57,E61:G61,E65:G65,E69:G69,E73:G73)&gt;H44,Variables!$D$67,Variables!$D$68)</f>
        <v>Correct</v>
      </c>
      <c r="H81" s="187" t="str">
        <f>IF(SUM(H57:K57,H61:K61,H65:K65,H69:K69,H73:K73)&gt;I44,Variables!$D$67,Variables!$D$68)</f>
        <v>Correct</v>
      </c>
      <c r="I81" s="187" t="str">
        <f>IF(SUM(H57,H61,H65,H69,H73)&gt;J44,Variables!$D$67,Variables!$D$68)</f>
        <v>Correct</v>
      </c>
      <c r="J81" s="187" t="str">
        <f>IF(SUM(L57,L61,L65,L69,L73)&gt;K44,Variables!$D$67,Variables!$D$68)</f>
        <v>Correct</v>
      </c>
      <c r="K81" s="225"/>
      <c r="L81" s="226"/>
      <c r="M81" s="10"/>
    </row>
    <row r="82" spans="1:16" ht="26.25" customHeight="1" x14ac:dyDescent="0.25">
      <c r="B82" s="754" t="str">
        <f>IF(Intro!$G$20="English",O82,P82)</f>
        <v>volume - total des ventes au Canada d'importations aux cinq principaux clients (Question 2)</v>
      </c>
      <c r="C82" s="755"/>
      <c r="D82" s="755"/>
      <c r="E82" s="755"/>
      <c r="F82" s="756"/>
      <c r="G82" s="187">
        <f>SUM(E57:G57,E61:G61,E65:G65,E69:G69,E73:G73)</f>
        <v>0</v>
      </c>
      <c r="H82" s="187">
        <f>SUM(H57:K57,H61:K61,H65:K65,H69:K69,H73:K73)</f>
        <v>0</v>
      </c>
      <c r="I82" s="187">
        <f>SUM(H57,H61,H65,H69,H73)</f>
        <v>0</v>
      </c>
      <c r="J82" s="187">
        <f>SUM(L57,L61,L65,L69,L73)</f>
        <v>0</v>
      </c>
      <c r="K82" s="225"/>
      <c r="L82" s="226"/>
      <c r="M82" s="10"/>
      <c r="O82" s="73" t="s">
        <v>439</v>
      </c>
      <c r="P82" s="10" t="s">
        <v>441</v>
      </c>
    </row>
    <row r="83" spans="1:16" ht="14.1" customHeight="1" x14ac:dyDescent="0.25">
      <c r="B83" s="754" t="str">
        <f>IF(Intro!$G$20="English",O83,P83)</f>
        <v>volume - total des ventes au Canada d'importations (Question 1)</v>
      </c>
      <c r="C83" s="755"/>
      <c r="D83" s="755"/>
      <c r="E83" s="755"/>
      <c r="F83" s="756"/>
      <c r="G83" s="187">
        <f>H44</f>
        <v>0</v>
      </c>
      <c r="H83" s="187">
        <f>I44</f>
        <v>0</v>
      </c>
      <c r="I83" s="187">
        <f>J44</f>
        <v>0</v>
      </c>
      <c r="J83" s="187">
        <f>K44</f>
        <v>0</v>
      </c>
      <c r="K83" s="225"/>
      <c r="L83" s="226"/>
      <c r="M83" s="10"/>
      <c r="O83" s="10" t="s">
        <v>440</v>
      </c>
      <c r="P83" s="10" t="s">
        <v>442</v>
      </c>
    </row>
    <row r="84" spans="1:16" ht="14.1" customHeight="1" x14ac:dyDescent="0.25">
      <c r="B84" s="760" t="str">
        <f>Variables!D70</f>
        <v>Vérification - valeur</v>
      </c>
      <c r="C84" s="761"/>
      <c r="D84" s="761"/>
      <c r="E84" s="761"/>
      <c r="F84" s="762"/>
      <c r="G84" s="320">
        <f>G80</f>
        <v>2024</v>
      </c>
      <c r="H84" s="320">
        <f>H80</f>
        <v>2025</v>
      </c>
      <c r="I84" s="320" t="str">
        <f>I80</f>
        <v>janv.-mars 2025</v>
      </c>
      <c r="J84" s="320" t="str">
        <f>J80</f>
        <v>janv.-mars 2026</v>
      </c>
      <c r="K84" s="225"/>
      <c r="L84" s="226"/>
      <c r="M84" s="10"/>
    </row>
    <row r="85" spans="1:16" ht="14.1" customHeight="1" x14ac:dyDescent="0.25">
      <c r="B85" s="783" t="str">
        <f>D32</f>
        <v>valeur de vente nette rendue (CAD)</v>
      </c>
      <c r="C85" s="784"/>
      <c r="D85" s="784"/>
      <c r="E85" s="784"/>
      <c r="F85" s="785"/>
      <c r="G85" s="187" t="str">
        <f>IF(SUM(E58:G58,E62:G62,E66:G66,E70:G70,E74:G74)&gt;H45,Variables!$D$67,Variables!$D$68)</f>
        <v>Correct</v>
      </c>
      <c r="H85" s="187" t="str">
        <f>IF(SUM(H58:K58,H62:K62,H66:K66,H70:K70,H74:K74)&gt;I45,Variables!$D$67,Variables!$D$68)</f>
        <v>Correct</v>
      </c>
      <c r="I85" s="187" t="str">
        <f>IF(SUM(H58,H62,H66,H70,H74)&gt;J45,Variables!$D$67,Variables!$D$68)</f>
        <v>Correct</v>
      </c>
      <c r="J85" s="187" t="str">
        <f>IF(SUM(L58,L62,L66,L70,L74)&gt;K45,Variables!$D$67,Variables!$D$68)</f>
        <v>Correct</v>
      </c>
      <c r="K85" s="225"/>
      <c r="L85" s="226"/>
      <c r="M85" s="10"/>
    </row>
    <row r="86" spans="1:16" ht="14.1" customHeight="1" x14ac:dyDescent="0.25">
      <c r="B86" s="786" t="str">
        <f>IF(Intro!$G$20="English",O86,P86)</f>
        <v>valeur - total des ventes au Canada d'importations aux cinq principaux clients (Question 2)</v>
      </c>
      <c r="C86" s="787"/>
      <c r="D86" s="787"/>
      <c r="E86" s="787"/>
      <c r="F86" s="788"/>
      <c r="G86" s="187">
        <f>SUM(E58:G58,E62:G62,E66:G66,E70:G70,E74:G74)</f>
        <v>0</v>
      </c>
      <c r="H86" s="187">
        <f>SUM(H58:K58,H62:K62,H66:K66,H70:K70,H74:K74)</f>
        <v>0</v>
      </c>
      <c r="I86" s="187">
        <f>SUM(H58,H62,H66,H70,H74)</f>
        <v>0</v>
      </c>
      <c r="J86" s="187">
        <f>SUM(L58,L62,L66,L70,L74)</f>
        <v>0</v>
      </c>
      <c r="K86" s="225"/>
      <c r="L86" s="226"/>
      <c r="M86" s="10"/>
      <c r="O86" s="73" t="s">
        <v>445</v>
      </c>
      <c r="P86" s="10" t="s">
        <v>443</v>
      </c>
    </row>
    <row r="87" spans="1:16" ht="14.1" customHeight="1" x14ac:dyDescent="0.25">
      <c r="B87" s="786" t="str">
        <f>IF(Intro!$G$20="English",O87,P87)</f>
        <v>valeur - total des ventes au Canada d'importations (Question 1)</v>
      </c>
      <c r="C87" s="787"/>
      <c r="D87" s="787"/>
      <c r="E87" s="787"/>
      <c r="F87" s="788"/>
      <c r="G87" s="187">
        <f>H45</f>
        <v>0</v>
      </c>
      <c r="H87" s="187">
        <f>I45</f>
        <v>0</v>
      </c>
      <c r="I87" s="187">
        <f>J45</f>
        <v>0</v>
      </c>
      <c r="J87" s="187">
        <f>K45</f>
        <v>0</v>
      </c>
      <c r="K87" s="225"/>
      <c r="L87" s="226"/>
      <c r="M87" s="10"/>
      <c r="O87" s="10" t="s">
        <v>446</v>
      </c>
      <c r="P87" s="10" t="s">
        <v>444</v>
      </c>
    </row>
    <row r="88" spans="1:16" x14ac:dyDescent="0.25">
      <c r="B88" s="72"/>
      <c r="C88" s="82"/>
      <c r="D88" s="82"/>
      <c r="E88" s="82"/>
      <c r="F88" s="82"/>
      <c r="G88" s="82"/>
      <c r="H88" s="82"/>
      <c r="I88" s="82"/>
      <c r="J88" s="164"/>
      <c r="K88" s="164"/>
      <c r="L88" s="165"/>
      <c r="M88" s="10"/>
    </row>
    <row r="89" spans="1:16" s="207" customFormat="1" x14ac:dyDescent="0.25">
      <c r="A89" s="7"/>
      <c r="B89" s="31"/>
      <c r="C89" s="31"/>
      <c r="D89" s="89"/>
      <c r="E89" s="319"/>
      <c r="F89" s="319"/>
      <c r="G89" s="319"/>
      <c r="H89" s="319"/>
      <c r="I89" s="319"/>
      <c r="J89" s="319"/>
      <c r="K89" s="319"/>
      <c r="L89" s="319"/>
      <c r="M89" s="73"/>
    </row>
    <row r="90" spans="1:16" x14ac:dyDescent="0.25">
      <c r="B90" s="533" t="str">
        <f>IF(Intro!$G$20="English",O90,P90)</f>
        <v>IMPORTATIONS DE PRODUITS DE RÉFÉRENCE</v>
      </c>
      <c r="C90" s="534"/>
      <c r="D90" s="534"/>
      <c r="E90" s="534"/>
      <c r="F90" s="534"/>
      <c r="G90" s="534"/>
      <c r="H90" s="534"/>
      <c r="I90" s="534"/>
      <c r="J90" s="534"/>
      <c r="K90" s="534"/>
      <c r="L90" s="535"/>
      <c r="M90" s="10"/>
      <c r="O90" s="105" t="s">
        <v>332</v>
      </c>
      <c r="P90" s="105" t="s">
        <v>398</v>
      </c>
    </row>
    <row r="91" spans="1:16" x14ac:dyDescent="0.25">
      <c r="B91" s="671" t="s">
        <v>16</v>
      </c>
      <c r="C91" s="672"/>
      <c r="D91" s="672"/>
      <c r="E91" s="672"/>
      <c r="F91" s="672"/>
      <c r="G91" s="672"/>
      <c r="H91" s="672"/>
      <c r="I91" s="672"/>
      <c r="J91" s="672"/>
      <c r="K91" s="672"/>
      <c r="L91" s="673"/>
      <c r="M91" s="10"/>
    </row>
    <row r="92" spans="1:16" x14ac:dyDescent="0.25">
      <c r="B92" s="16"/>
      <c r="C92" s="35"/>
      <c r="D92" s="35"/>
      <c r="E92" s="36"/>
      <c r="F92" s="36"/>
      <c r="G92" s="36"/>
      <c r="H92" s="36"/>
      <c r="I92" s="36"/>
      <c r="J92" s="36"/>
      <c r="K92" s="36"/>
      <c r="L92" s="17"/>
      <c r="M92" s="10"/>
    </row>
    <row r="93" spans="1:16" x14ac:dyDescent="0.25">
      <c r="B93" s="530" t="str">
        <f>IF(Intro!$G$20="English",O93,P93)</f>
        <v>Indiquez le volume et la valeur des importations pour chaque produit de référence :</v>
      </c>
      <c r="C93" s="531"/>
      <c r="D93" s="531"/>
      <c r="E93" s="531"/>
      <c r="F93" s="531"/>
      <c r="G93" s="531"/>
      <c r="H93" s="531"/>
      <c r="I93" s="531"/>
      <c r="J93" s="531"/>
      <c r="K93" s="531"/>
      <c r="L93" s="532"/>
      <c r="M93" s="10"/>
      <c r="O93" s="18" t="s">
        <v>192</v>
      </c>
      <c r="P93" s="10" t="s">
        <v>193</v>
      </c>
    </row>
    <row r="94" spans="1:16" x14ac:dyDescent="0.25">
      <c r="B94" s="316"/>
      <c r="C94" s="317"/>
      <c r="D94" s="35"/>
      <c r="E94" s="36"/>
      <c r="F94" s="36"/>
      <c r="G94" s="36"/>
      <c r="H94" s="36"/>
      <c r="I94" s="36"/>
      <c r="J94" s="36"/>
      <c r="K94" s="36"/>
      <c r="L94" s="17"/>
      <c r="M94" s="10"/>
      <c r="O94" s="18"/>
    </row>
    <row r="95" spans="1:16" x14ac:dyDescent="0.25">
      <c r="B95" s="772"/>
      <c r="C95" s="773"/>
      <c r="D95" s="774"/>
      <c r="E95" s="320" t="str">
        <f t="shared" ref="E95:L95" si="12">E55</f>
        <v>T2 - 2024</v>
      </c>
      <c r="F95" s="320" t="str">
        <f t="shared" si="12"/>
        <v>T3 - 2024</v>
      </c>
      <c r="G95" s="320" t="str">
        <f t="shared" si="12"/>
        <v>T4 - 2024</v>
      </c>
      <c r="H95" s="320" t="str">
        <f t="shared" si="12"/>
        <v>T1 - 2025</v>
      </c>
      <c r="I95" s="320" t="str">
        <f t="shared" si="12"/>
        <v>T2 - 2025</v>
      </c>
      <c r="J95" s="320" t="str">
        <f t="shared" si="12"/>
        <v>T3 - 2025</v>
      </c>
      <c r="K95" s="320" t="str">
        <f t="shared" si="12"/>
        <v>T4 - 2025</v>
      </c>
      <c r="L95" s="321" t="str">
        <f t="shared" si="12"/>
        <v>T1 - 2026</v>
      </c>
      <c r="M95" s="10"/>
      <c r="O95" s="18"/>
    </row>
    <row r="96" spans="1:16" x14ac:dyDescent="0.25">
      <c r="B96" s="768" t="str">
        <f>IF(Intro!$G$20="English",Variables!B30,Variables!C30)</f>
        <v xml:space="preserve">Tubage sans soudure L80 (y compris les améliorations) avec raccord API </v>
      </c>
      <c r="C96" s="641"/>
      <c r="D96" s="641"/>
      <c r="E96" s="641"/>
      <c r="F96" s="641"/>
      <c r="G96" s="641"/>
      <c r="H96" s="641"/>
      <c r="I96" s="641"/>
      <c r="J96" s="641"/>
      <c r="K96" s="641"/>
      <c r="L96" s="769"/>
      <c r="M96" s="10"/>
    </row>
    <row r="97" spans="2:13" x14ac:dyDescent="0.25">
      <c r="B97" s="770"/>
      <c r="C97" s="647"/>
      <c r="D97" s="647"/>
      <c r="E97" s="647"/>
      <c r="F97" s="647"/>
      <c r="G97" s="647"/>
      <c r="H97" s="647"/>
      <c r="I97" s="647"/>
      <c r="J97" s="647"/>
      <c r="K97" s="647"/>
      <c r="L97" s="771"/>
      <c r="M97" s="10"/>
    </row>
    <row r="98" spans="2:13" x14ac:dyDescent="0.25">
      <c r="B98" s="747" t="str">
        <f>D$26</f>
        <v>tonnes</v>
      </c>
      <c r="C98" s="748"/>
      <c r="D98" s="748"/>
      <c r="E98" s="137"/>
      <c r="F98" s="137"/>
      <c r="G98" s="137"/>
      <c r="H98" s="137"/>
      <c r="I98" s="137"/>
      <c r="J98" s="137"/>
      <c r="K98" s="137"/>
      <c r="L98" s="138"/>
      <c r="M98" s="10"/>
    </row>
    <row r="99" spans="2:13" x14ac:dyDescent="0.25">
      <c r="B99" s="747" t="str">
        <f>D$27</f>
        <v>valeur d'achat nette rendue (CAD)</v>
      </c>
      <c r="C99" s="748"/>
      <c r="D99" s="748"/>
      <c r="E99" s="137"/>
      <c r="F99" s="137"/>
      <c r="G99" s="137"/>
      <c r="H99" s="137"/>
      <c r="I99" s="137"/>
      <c r="J99" s="137"/>
      <c r="K99" s="137"/>
      <c r="L99" s="138"/>
      <c r="M99" s="10"/>
    </row>
    <row r="100" spans="2:13" x14ac:dyDescent="0.25">
      <c r="B100" s="747" t="str">
        <f>D$28</f>
        <v>$ / tonne</v>
      </c>
      <c r="C100" s="748"/>
      <c r="D100" s="748"/>
      <c r="E100" s="151" t="str">
        <f t="shared" ref="E100:L100" si="13">IF(E98=0,"-",E99/E98)</f>
        <v>-</v>
      </c>
      <c r="F100" s="151" t="str">
        <f t="shared" si="13"/>
        <v>-</v>
      </c>
      <c r="G100" s="151" t="str">
        <f t="shared" si="13"/>
        <v>-</v>
      </c>
      <c r="H100" s="151" t="str">
        <f t="shared" si="13"/>
        <v>-</v>
      </c>
      <c r="I100" s="151" t="str">
        <f t="shared" si="13"/>
        <v>-</v>
      </c>
      <c r="J100" s="151" t="str">
        <f t="shared" si="13"/>
        <v>-</v>
      </c>
      <c r="K100" s="151" t="str">
        <f t="shared" si="13"/>
        <v>-</v>
      </c>
      <c r="L100" s="152" t="str">
        <f t="shared" si="13"/>
        <v>-</v>
      </c>
      <c r="M100" s="10"/>
    </row>
    <row r="101" spans="2:13" x14ac:dyDescent="0.25">
      <c r="B101" s="768" t="str">
        <f>IF(Intro!$G$20="English",Variables!B31,Variables!C31)</f>
        <v>Tubage soudé L80 (y compris les améliorations) avec raccord API</v>
      </c>
      <c r="C101" s="641"/>
      <c r="D101" s="641"/>
      <c r="E101" s="641"/>
      <c r="F101" s="641"/>
      <c r="G101" s="641"/>
      <c r="H101" s="641"/>
      <c r="I101" s="641"/>
      <c r="J101" s="641"/>
      <c r="K101" s="641"/>
      <c r="L101" s="769"/>
      <c r="M101" s="10"/>
    </row>
    <row r="102" spans="2:13" x14ac:dyDescent="0.25">
      <c r="B102" s="770"/>
      <c r="C102" s="647"/>
      <c r="D102" s="647"/>
      <c r="E102" s="647"/>
      <c r="F102" s="647"/>
      <c r="G102" s="647"/>
      <c r="H102" s="647"/>
      <c r="I102" s="647"/>
      <c r="J102" s="647"/>
      <c r="K102" s="647"/>
      <c r="L102" s="771"/>
      <c r="M102" s="10"/>
    </row>
    <row r="103" spans="2:13" x14ac:dyDescent="0.25">
      <c r="B103" s="747" t="str">
        <f>D$26</f>
        <v>tonnes</v>
      </c>
      <c r="C103" s="748"/>
      <c r="D103" s="748"/>
      <c r="E103" s="137"/>
      <c r="F103" s="137"/>
      <c r="G103" s="137"/>
      <c r="H103" s="137"/>
      <c r="I103" s="137"/>
      <c r="J103" s="137"/>
      <c r="K103" s="137"/>
      <c r="L103" s="138"/>
      <c r="M103" s="10"/>
    </row>
    <row r="104" spans="2:13" x14ac:dyDescent="0.25">
      <c r="B104" s="747" t="str">
        <f>D$27</f>
        <v>valeur d'achat nette rendue (CAD)</v>
      </c>
      <c r="C104" s="748"/>
      <c r="D104" s="748"/>
      <c r="E104" s="137"/>
      <c r="F104" s="137"/>
      <c r="G104" s="137"/>
      <c r="H104" s="137"/>
      <c r="I104" s="137"/>
      <c r="J104" s="137"/>
      <c r="K104" s="137"/>
      <c r="L104" s="138"/>
      <c r="M104" s="10"/>
    </row>
    <row r="105" spans="2:13" x14ac:dyDescent="0.25">
      <c r="B105" s="747" t="str">
        <f>D$28</f>
        <v>$ / tonne</v>
      </c>
      <c r="C105" s="748"/>
      <c r="D105" s="748"/>
      <c r="E105" s="151" t="str">
        <f t="shared" ref="E105:L105" si="14">IF(E103=0,"-",E104/E103)</f>
        <v>-</v>
      </c>
      <c r="F105" s="151" t="str">
        <f t="shared" si="14"/>
        <v>-</v>
      </c>
      <c r="G105" s="151" t="str">
        <f t="shared" si="14"/>
        <v>-</v>
      </c>
      <c r="H105" s="151" t="str">
        <f t="shared" si="14"/>
        <v>-</v>
      </c>
      <c r="I105" s="151" t="str">
        <f t="shared" si="14"/>
        <v>-</v>
      </c>
      <c r="J105" s="151" t="str">
        <f t="shared" si="14"/>
        <v>-</v>
      </c>
      <c r="K105" s="151" t="str">
        <f t="shared" si="14"/>
        <v>-</v>
      </c>
      <c r="L105" s="152" t="str">
        <f t="shared" si="14"/>
        <v>-</v>
      </c>
      <c r="M105" s="10"/>
    </row>
    <row r="106" spans="2:13" x14ac:dyDescent="0.25">
      <c r="B106" s="768" t="str">
        <f>IF(Intro!$G$20="English",Variables!B32,Variables!C32)</f>
        <v xml:space="preserve">Tubage sans soudure L80 (y compris les améliorations) avec raccord de qualité semi-supérieure </v>
      </c>
      <c r="C106" s="641"/>
      <c r="D106" s="641"/>
      <c r="E106" s="641"/>
      <c r="F106" s="641"/>
      <c r="G106" s="641"/>
      <c r="H106" s="641"/>
      <c r="I106" s="641"/>
      <c r="J106" s="641"/>
      <c r="K106" s="641"/>
      <c r="L106" s="769"/>
      <c r="M106" s="10"/>
    </row>
    <row r="107" spans="2:13" x14ac:dyDescent="0.25">
      <c r="B107" s="770"/>
      <c r="C107" s="647"/>
      <c r="D107" s="647"/>
      <c r="E107" s="647"/>
      <c r="F107" s="647"/>
      <c r="G107" s="647"/>
      <c r="H107" s="647"/>
      <c r="I107" s="647"/>
      <c r="J107" s="647"/>
      <c r="K107" s="647"/>
      <c r="L107" s="771"/>
      <c r="M107" s="10"/>
    </row>
    <row r="108" spans="2:13" x14ac:dyDescent="0.25">
      <c r="B108" s="747" t="str">
        <f>D$26</f>
        <v>tonnes</v>
      </c>
      <c r="C108" s="748"/>
      <c r="D108" s="748"/>
      <c r="E108" s="137"/>
      <c r="F108" s="137"/>
      <c r="G108" s="137"/>
      <c r="H108" s="137"/>
      <c r="I108" s="137"/>
      <c r="J108" s="137"/>
      <c r="K108" s="137"/>
      <c r="L108" s="138"/>
      <c r="M108" s="10"/>
    </row>
    <row r="109" spans="2:13" x14ac:dyDescent="0.25">
      <c r="B109" s="747" t="str">
        <f>D$27</f>
        <v>valeur d'achat nette rendue (CAD)</v>
      </c>
      <c r="C109" s="748"/>
      <c r="D109" s="748"/>
      <c r="E109" s="137"/>
      <c r="F109" s="137"/>
      <c r="G109" s="137"/>
      <c r="H109" s="137"/>
      <c r="I109" s="137"/>
      <c r="J109" s="137"/>
      <c r="K109" s="137"/>
      <c r="L109" s="138"/>
      <c r="M109" s="10"/>
    </row>
    <row r="110" spans="2:13" x14ac:dyDescent="0.25">
      <c r="B110" s="747" t="str">
        <f>D$28</f>
        <v>$ / tonne</v>
      </c>
      <c r="C110" s="748"/>
      <c r="D110" s="748"/>
      <c r="E110" s="151" t="str">
        <f t="shared" ref="E110:L110" si="15">IF(E108=0,"-",E109/E108)</f>
        <v>-</v>
      </c>
      <c r="F110" s="151" t="str">
        <f t="shared" si="15"/>
        <v>-</v>
      </c>
      <c r="G110" s="151" t="str">
        <f t="shared" si="15"/>
        <v>-</v>
      </c>
      <c r="H110" s="151" t="str">
        <f t="shared" si="15"/>
        <v>-</v>
      </c>
      <c r="I110" s="151" t="str">
        <f t="shared" si="15"/>
        <v>-</v>
      </c>
      <c r="J110" s="151" t="str">
        <f t="shared" si="15"/>
        <v>-</v>
      </c>
      <c r="K110" s="151" t="str">
        <f t="shared" si="15"/>
        <v>-</v>
      </c>
      <c r="L110" s="152" t="str">
        <f t="shared" si="15"/>
        <v>-</v>
      </c>
      <c r="M110" s="10"/>
    </row>
    <row r="111" spans="2:13" x14ac:dyDescent="0.25">
      <c r="B111" s="768" t="str">
        <f>IF(Intro!$G$20="English",Variables!B33,Variables!C33)</f>
        <v xml:space="preserve">Tubage soudé L80 (y compris les améliorations) avec raccord de qualité semi-supérieure </v>
      </c>
      <c r="C111" s="641"/>
      <c r="D111" s="641"/>
      <c r="E111" s="641"/>
      <c r="F111" s="641"/>
      <c r="G111" s="641"/>
      <c r="H111" s="641"/>
      <c r="I111" s="641"/>
      <c r="J111" s="641"/>
      <c r="K111" s="641"/>
      <c r="L111" s="769"/>
      <c r="M111" s="10"/>
    </row>
    <row r="112" spans="2:13" x14ac:dyDescent="0.25">
      <c r="B112" s="770"/>
      <c r="C112" s="647"/>
      <c r="D112" s="647"/>
      <c r="E112" s="647"/>
      <c r="F112" s="647"/>
      <c r="G112" s="647"/>
      <c r="H112" s="647"/>
      <c r="I112" s="647"/>
      <c r="J112" s="647"/>
      <c r="K112" s="647"/>
      <c r="L112" s="771"/>
      <c r="M112" s="10"/>
    </row>
    <row r="113" spans="2:13" x14ac:dyDescent="0.25">
      <c r="B113" s="747" t="str">
        <f>D$26</f>
        <v>tonnes</v>
      </c>
      <c r="C113" s="748"/>
      <c r="D113" s="748"/>
      <c r="E113" s="137"/>
      <c r="F113" s="137"/>
      <c r="G113" s="137"/>
      <c r="H113" s="137"/>
      <c r="I113" s="137"/>
      <c r="J113" s="137"/>
      <c r="K113" s="137"/>
      <c r="L113" s="138"/>
      <c r="M113" s="10"/>
    </row>
    <row r="114" spans="2:13" x14ac:dyDescent="0.25">
      <c r="B114" s="747" t="str">
        <f>D$27</f>
        <v>valeur d'achat nette rendue (CAD)</v>
      </c>
      <c r="C114" s="748"/>
      <c r="D114" s="748"/>
      <c r="E114" s="137"/>
      <c r="F114" s="137"/>
      <c r="G114" s="137"/>
      <c r="H114" s="137"/>
      <c r="I114" s="137"/>
      <c r="J114" s="137"/>
      <c r="K114" s="137"/>
      <c r="L114" s="138"/>
      <c r="M114" s="10"/>
    </row>
    <row r="115" spans="2:13" x14ac:dyDescent="0.25">
      <c r="B115" s="747" t="str">
        <f>D$28</f>
        <v>$ / tonne</v>
      </c>
      <c r="C115" s="748"/>
      <c r="D115" s="748"/>
      <c r="E115" s="151" t="str">
        <f t="shared" ref="E115:L115" si="16">IF(E113=0,"-",E114/E113)</f>
        <v>-</v>
      </c>
      <c r="F115" s="151" t="str">
        <f t="shared" si="16"/>
        <v>-</v>
      </c>
      <c r="G115" s="151" t="str">
        <f t="shared" si="16"/>
        <v>-</v>
      </c>
      <c r="H115" s="151" t="str">
        <f t="shared" si="16"/>
        <v>-</v>
      </c>
      <c r="I115" s="151" t="str">
        <f t="shared" si="16"/>
        <v>-</v>
      </c>
      <c r="J115" s="151" t="str">
        <f t="shared" si="16"/>
        <v>-</v>
      </c>
      <c r="K115" s="151" t="str">
        <f t="shared" si="16"/>
        <v>-</v>
      </c>
      <c r="L115" s="152" t="str">
        <f t="shared" si="16"/>
        <v>-</v>
      </c>
      <c r="M115" s="10"/>
    </row>
    <row r="116" spans="2:13" x14ac:dyDescent="0.25">
      <c r="B116" s="768" t="str">
        <f>IF(Intro!$G$20="English",Variables!B34,Variables!C34)</f>
        <v xml:space="preserve">Tubage sans soudure P110 (y compris les améliorations) avec raccord API </v>
      </c>
      <c r="C116" s="641"/>
      <c r="D116" s="641"/>
      <c r="E116" s="641"/>
      <c r="F116" s="641"/>
      <c r="G116" s="641"/>
      <c r="H116" s="641"/>
      <c r="I116" s="641"/>
      <c r="J116" s="641"/>
      <c r="K116" s="641"/>
      <c r="L116" s="769"/>
      <c r="M116" s="10"/>
    </row>
    <row r="117" spans="2:13" x14ac:dyDescent="0.25">
      <c r="B117" s="770"/>
      <c r="C117" s="647"/>
      <c r="D117" s="647"/>
      <c r="E117" s="647"/>
      <c r="F117" s="647"/>
      <c r="G117" s="647"/>
      <c r="H117" s="647"/>
      <c r="I117" s="647"/>
      <c r="J117" s="647"/>
      <c r="K117" s="647"/>
      <c r="L117" s="771"/>
      <c r="M117" s="10"/>
    </row>
    <row r="118" spans="2:13" x14ac:dyDescent="0.25">
      <c r="B118" s="747" t="str">
        <f>D$26</f>
        <v>tonnes</v>
      </c>
      <c r="C118" s="748"/>
      <c r="D118" s="748"/>
      <c r="E118" s="137"/>
      <c r="F118" s="137"/>
      <c r="G118" s="137"/>
      <c r="H118" s="137"/>
      <c r="I118" s="137"/>
      <c r="J118" s="137"/>
      <c r="K118" s="137"/>
      <c r="L118" s="138"/>
      <c r="M118" s="10"/>
    </row>
    <row r="119" spans="2:13" x14ac:dyDescent="0.25">
      <c r="B119" s="747" t="str">
        <f>D$27</f>
        <v>valeur d'achat nette rendue (CAD)</v>
      </c>
      <c r="C119" s="748"/>
      <c r="D119" s="748"/>
      <c r="E119" s="137"/>
      <c r="F119" s="137"/>
      <c r="G119" s="137"/>
      <c r="H119" s="137"/>
      <c r="I119" s="137"/>
      <c r="J119" s="137"/>
      <c r="K119" s="137"/>
      <c r="L119" s="138"/>
      <c r="M119" s="10"/>
    </row>
    <row r="120" spans="2:13" x14ac:dyDescent="0.25">
      <c r="B120" s="747" t="str">
        <f>D$28</f>
        <v>$ / tonne</v>
      </c>
      <c r="C120" s="748"/>
      <c r="D120" s="748"/>
      <c r="E120" s="151" t="str">
        <f t="shared" ref="E120:L120" si="17">IF(E118=0,"-",E119/E118)</f>
        <v>-</v>
      </c>
      <c r="F120" s="151" t="str">
        <f t="shared" si="17"/>
        <v>-</v>
      </c>
      <c r="G120" s="151" t="str">
        <f t="shared" si="17"/>
        <v>-</v>
      </c>
      <c r="H120" s="151" t="str">
        <f t="shared" si="17"/>
        <v>-</v>
      </c>
      <c r="I120" s="151" t="str">
        <f t="shared" si="17"/>
        <v>-</v>
      </c>
      <c r="J120" s="151" t="str">
        <f t="shared" si="17"/>
        <v>-</v>
      </c>
      <c r="K120" s="151" t="str">
        <f t="shared" si="17"/>
        <v>-</v>
      </c>
      <c r="L120" s="152" t="str">
        <f t="shared" si="17"/>
        <v>-</v>
      </c>
      <c r="M120" s="10"/>
    </row>
    <row r="121" spans="2:13" x14ac:dyDescent="0.25">
      <c r="B121" s="768" t="str">
        <f>IF(Intro!$G$20="English",Variables!B35,Variables!C35)</f>
        <v xml:space="preserve">Tubage soudé P110 (y compris les améliorations) avec raccord API </v>
      </c>
      <c r="C121" s="641"/>
      <c r="D121" s="641"/>
      <c r="E121" s="641"/>
      <c r="F121" s="641"/>
      <c r="G121" s="641"/>
      <c r="H121" s="641"/>
      <c r="I121" s="641"/>
      <c r="J121" s="641"/>
      <c r="K121" s="641"/>
      <c r="L121" s="769"/>
      <c r="M121" s="10"/>
    </row>
    <row r="122" spans="2:13" x14ac:dyDescent="0.25">
      <c r="B122" s="770"/>
      <c r="C122" s="647"/>
      <c r="D122" s="647"/>
      <c r="E122" s="647"/>
      <c r="F122" s="647"/>
      <c r="G122" s="647"/>
      <c r="H122" s="647"/>
      <c r="I122" s="647"/>
      <c r="J122" s="647"/>
      <c r="K122" s="647"/>
      <c r="L122" s="771"/>
      <c r="M122" s="10"/>
    </row>
    <row r="123" spans="2:13" x14ac:dyDescent="0.25">
      <c r="B123" s="747" t="str">
        <f>D$26</f>
        <v>tonnes</v>
      </c>
      <c r="C123" s="748"/>
      <c r="D123" s="748"/>
      <c r="E123" s="137"/>
      <c r="F123" s="137"/>
      <c r="G123" s="137"/>
      <c r="H123" s="137"/>
      <c r="I123" s="137"/>
      <c r="J123" s="137"/>
      <c r="K123" s="137"/>
      <c r="L123" s="138"/>
      <c r="M123" s="10"/>
    </row>
    <row r="124" spans="2:13" x14ac:dyDescent="0.25">
      <c r="B124" s="747" t="str">
        <f>D$27</f>
        <v>valeur d'achat nette rendue (CAD)</v>
      </c>
      <c r="C124" s="748"/>
      <c r="D124" s="748"/>
      <c r="E124" s="137"/>
      <c r="F124" s="137"/>
      <c r="G124" s="137"/>
      <c r="H124" s="137"/>
      <c r="I124" s="137"/>
      <c r="J124" s="137"/>
      <c r="K124" s="137"/>
      <c r="L124" s="138"/>
      <c r="M124" s="10"/>
    </row>
    <row r="125" spans="2:13" x14ac:dyDescent="0.25">
      <c r="B125" s="747" t="str">
        <f>D$28</f>
        <v>$ / tonne</v>
      </c>
      <c r="C125" s="748"/>
      <c r="D125" s="748"/>
      <c r="E125" s="151" t="str">
        <f t="shared" ref="E125:L125" si="18">IF(E123=0,"-",E124/E123)</f>
        <v>-</v>
      </c>
      <c r="F125" s="151" t="str">
        <f t="shared" si="18"/>
        <v>-</v>
      </c>
      <c r="G125" s="151" t="str">
        <f t="shared" si="18"/>
        <v>-</v>
      </c>
      <c r="H125" s="151" t="str">
        <f t="shared" si="18"/>
        <v>-</v>
      </c>
      <c r="I125" s="151" t="str">
        <f t="shared" si="18"/>
        <v>-</v>
      </c>
      <c r="J125" s="151" t="str">
        <f t="shared" si="18"/>
        <v>-</v>
      </c>
      <c r="K125" s="151" t="str">
        <f t="shared" si="18"/>
        <v>-</v>
      </c>
      <c r="L125" s="152" t="str">
        <f t="shared" si="18"/>
        <v>-</v>
      </c>
      <c r="M125" s="10"/>
    </row>
    <row r="126" spans="2:13" x14ac:dyDescent="0.25">
      <c r="B126" s="768" t="str">
        <f>IF(Intro!$G$20="English",Variables!B36,Variables!C36)</f>
        <v>Tubage sans soudure P110 (y compris les améliorations) avec raccord de qualité semi-supérieure</v>
      </c>
      <c r="C126" s="641"/>
      <c r="D126" s="641"/>
      <c r="E126" s="641"/>
      <c r="F126" s="641"/>
      <c r="G126" s="641"/>
      <c r="H126" s="641"/>
      <c r="I126" s="641"/>
      <c r="J126" s="641"/>
      <c r="K126" s="641"/>
      <c r="L126" s="769"/>
      <c r="M126" s="10"/>
    </row>
    <row r="127" spans="2:13" x14ac:dyDescent="0.25">
      <c r="B127" s="770"/>
      <c r="C127" s="647"/>
      <c r="D127" s="647"/>
      <c r="E127" s="647"/>
      <c r="F127" s="647"/>
      <c r="G127" s="647"/>
      <c r="H127" s="647"/>
      <c r="I127" s="647"/>
      <c r="J127" s="647"/>
      <c r="K127" s="647"/>
      <c r="L127" s="771"/>
      <c r="M127" s="10"/>
    </row>
    <row r="128" spans="2:13" x14ac:dyDescent="0.25">
      <c r="B128" s="747" t="str">
        <f>D$26</f>
        <v>tonnes</v>
      </c>
      <c r="C128" s="748"/>
      <c r="D128" s="748"/>
      <c r="E128" s="137"/>
      <c r="F128" s="137"/>
      <c r="G128" s="137"/>
      <c r="H128" s="137"/>
      <c r="I128" s="137"/>
      <c r="J128" s="137"/>
      <c r="K128" s="137"/>
      <c r="L128" s="138"/>
      <c r="M128" s="10"/>
    </row>
    <row r="129" spans="2:13" x14ac:dyDescent="0.25">
      <c r="B129" s="747" t="str">
        <f>D$27</f>
        <v>valeur d'achat nette rendue (CAD)</v>
      </c>
      <c r="C129" s="748"/>
      <c r="D129" s="748"/>
      <c r="E129" s="137"/>
      <c r="F129" s="137"/>
      <c r="G129" s="137"/>
      <c r="H129" s="137"/>
      <c r="I129" s="137"/>
      <c r="J129" s="137"/>
      <c r="K129" s="137"/>
      <c r="L129" s="138"/>
      <c r="M129" s="10"/>
    </row>
    <row r="130" spans="2:13" x14ac:dyDescent="0.25">
      <c r="B130" s="747" t="str">
        <f>D$28</f>
        <v>$ / tonne</v>
      </c>
      <c r="C130" s="748"/>
      <c r="D130" s="748"/>
      <c r="E130" s="151" t="str">
        <f t="shared" ref="E130:L130" si="19">IF(E128=0,"-",E129/E128)</f>
        <v>-</v>
      </c>
      <c r="F130" s="151" t="str">
        <f t="shared" si="19"/>
        <v>-</v>
      </c>
      <c r="G130" s="151" t="str">
        <f t="shared" si="19"/>
        <v>-</v>
      </c>
      <c r="H130" s="151" t="str">
        <f t="shared" si="19"/>
        <v>-</v>
      </c>
      <c r="I130" s="151" t="str">
        <f t="shared" si="19"/>
        <v>-</v>
      </c>
      <c r="J130" s="151" t="str">
        <f t="shared" si="19"/>
        <v>-</v>
      </c>
      <c r="K130" s="151" t="str">
        <f t="shared" si="19"/>
        <v>-</v>
      </c>
      <c r="L130" s="152" t="str">
        <f t="shared" si="19"/>
        <v>-</v>
      </c>
      <c r="M130" s="10"/>
    </row>
    <row r="131" spans="2:13" x14ac:dyDescent="0.25">
      <c r="B131" s="768" t="str">
        <f>IF(Intro!$G$20="English",Variables!B37,Variables!C37)</f>
        <v>Tubage soudé P110 (y compris les améliorations) avec raccord de qualité semi-supérieure</v>
      </c>
      <c r="C131" s="641"/>
      <c r="D131" s="641"/>
      <c r="E131" s="641"/>
      <c r="F131" s="641"/>
      <c r="G131" s="641"/>
      <c r="H131" s="641"/>
      <c r="I131" s="641"/>
      <c r="J131" s="641"/>
      <c r="K131" s="641"/>
      <c r="L131" s="769"/>
      <c r="M131" s="10"/>
    </row>
    <row r="132" spans="2:13" x14ac:dyDescent="0.25">
      <c r="B132" s="770"/>
      <c r="C132" s="647"/>
      <c r="D132" s="647"/>
      <c r="E132" s="647"/>
      <c r="F132" s="647"/>
      <c r="G132" s="647"/>
      <c r="H132" s="647"/>
      <c r="I132" s="647"/>
      <c r="J132" s="647"/>
      <c r="K132" s="647"/>
      <c r="L132" s="771"/>
      <c r="M132" s="10"/>
    </row>
    <row r="133" spans="2:13" x14ac:dyDescent="0.25">
      <c r="B133" s="747" t="str">
        <f>D$26</f>
        <v>tonnes</v>
      </c>
      <c r="C133" s="748"/>
      <c r="D133" s="748"/>
      <c r="E133" s="137"/>
      <c r="F133" s="137"/>
      <c r="G133" s="137"/>
      <c r="H133" s="137"/>
      <c r="I133" s="137"/>
      <c r="J133" s="137"/>
      <c r="K133" s="137"/>
      <c r="L133" s="138"/>
      <c r="M133" s="10"/>
    </row>
    <row r="134" spans="2:13" x14ac:dyDescent="0.25">
      <c r="B134" s="747" t="str">
        <f>D$27</f>
        <v>valeur d'achat nette rendue (CAD)</v>
      </c>
      <c r="C134" s="748"/>
      <c r="D134" s="748"/>
      <c r="E134" s="137"/>
      <c r="F134" s="137"/>
      <c r="G134" s="137"/>
      <c r="H134" s="137"/>
      <c r="I134" s="137"/>
      <c r="J134" s="137"/>
      <c r="K134" s="137"/>
      <c r="L134" s="138"/>
      <c r="M134" s="10"/>
    </row>
    <row r="135" spans="2:13" x14ac:dyDescent="0.25">
      <c r="B135" s="747" t="str">
        <f>D$28</f>
        <v>$ / tonne</v>
      </c>
      <c r="C135" s="748"/>
      <c r="D135" s="748"/>
      <c r="E135" s="151" t="str">
        <f t="shared" ref="E135:L135" si="20">IF(E133=0,"-",E134/E133)</f>
        <v>-</v>
      </c>
      <c r="F135" s="151" t="str">
        <f t="shared" si="20"/>
        <v>-</v>
      </c>
      <c r="G135" s="151" t="str">
        <f t="shared" si="20"/>
        <v>-</v>
      </c>
      <c r="H135" s="151" t="str">
        <f t="shared" si="20"/>
        <v>-</v>
      </c>
      <c r="I135" s="151" t="str">
        <f t="shared" si="20"/>
        <v>-</v>
      </c>
      <c r="J135" s="151" t="str">
        <f t="shared" si="20"/>
        <v>-</v>
      </c>
      <c r="K135" s="151" t="str">
        <f t="shared" si="20"/>
        <v>-</v>
      </c>
      <c r="L135" s="152" t="str">
        <f t="shared" si="20"/>
        <v>-</v>
      </c>
      <c r="M135" s="10"/>
    </row>
    <row r="136" spans="2:13" x14ac:dyDescent="0.25">
      <c r="B136" s="768" t="str">
        <f>IF(Intro!$G$20="English",Variables!B38,Variables!C38)</f>
        <v>Tubage sans soudure T95 (y compris les améliorations) avec raccord semi-supérieure</v>
      </c>
      <c r="C136" s="641"/>
      <c r="D136" s="641"/>
      <c r="E136" s="641"/>
      <c r="F136" s="641"/>
      <c r="G136" s="641"/>
      <c r="H136" s="641"/>
      <c r="I136" s="641"/>
      <c r="J136" s="641"/>
      <c r="K136" s="641"/>
      <c r="L136" s="769"/>
      <c r="M136" s="10"/>
    </row>
    <row r="137" spans="2:13" x14ac:dyDescent="0.25">
      <c r="B137" s="770"/>
      <c r="C137" s="647"/>
      <c r="D137" s="647"/>
      <c r="E137" s="647"/>
      <c r="F137" s="647"/>
      <c r="G137" s="647"/>
      <c r="H137" s="647"/>
      <c r="I137" s="647"/>
      <c r="J137" s="647"/>
      <c r="K137" s="647"/>
      <c r="L137" s="771"/>
      <c r="M137" s="10"/>
    </row>
    <row r="138" spans="2:13" x14ac:dyDescent="0.25">
      <c r="B138" s="747" t="str">
        <f>D$26</f>
        <v>tonnes</v>
      </c>
      <c r="C138" s="748"/>
      <c r="D138" s="748"/>
      <c r="E138" s="137"/>
      <c r="F138" s="137"/>
      <c r="G138" s="137"/>
      <c r="H138" s="137"/>
      <c r="I138" s="137"/>
      <c r="J138" s="137"/>
      <c r="K138" s="137"/>
      <c r="L138" s="138"/>
      <c r="M138" s="10"/>
    </row>
    <row r="139" spans="2:13" x14ac:dyDescent="0.25">
      <c r="B139" s="747" t="str">
        <f>D$27</f>
        <v>valeur d'achat nette rendue (CAD)</v>
      </c>
      <c r="C139" s="748"/>
      <c r="D139" s="748"/>
      <c r="E139" s="137"/>
      <c r="F139" s="137"/>
      <c r="G139" s="137"/>
      <c r="H139" s="137"/>
      <c r="I139" s="137"/>
      <c r="J139" s="137"/>
      <c r="K139" s="137"/>
      <c r="L139" s="138"/>
      <c r="M139" s="10"/>
    </row>
    <row r="140" spans="2:13" x14ac:dyDescent="0.25">
      <c r="B140" s="747" t="str">
        <f>D$28</f>
        <v>$ / tonne</v>
      </c>
      <c r="C140" s="748"/>
      <c r="D140" s="748"/>
      <c r="E140" s="151" t="str">
        <f t="shared" ref="E140:L140" si="21">IF(E138=0,"-",E139/E138)</f>
        <v>-</v>
      </c>
      <c r="F140" s="151" t="str">
        <f t="shared" si="21"/>
        <v>-</v>
      </c>
      <c r="G140" s="151" t="str">
        <f t="shared" si="21"/>
        <v>-</v>
      </c>
      <c r="H140" s="151" t="str">
        <f t="shared" si="21"/>
        <v>-</v>
      </c>
      <c r="I140" s="151" t="str">
        <f t="shared" si="21"/>
        <v>-</v>
      </c>
      <c r="J140" s="151" t="str">
        <f t="shared" si="21"/>
        <v>-</v>
      </c>
      <c r="K140" s="151" t="str">
        <f t="shared" si="21"/>
        <v>-</v>
      </c>
      <c r="L140" s="152" t="str">
        <f t="shared" si="21"/>
        <v>-</v>
      </c>
      <c r="M140" s="10"/>
    </row>
    <row r="141" spans="2:13" x14ac:dyDescent="0.25">
      <c r="B141" s="768" t="str">
        <f>IF(Intro!$G$20="English",Variables!B39,Variables!C39)</f>
        <v>Tubage sans soudure P110S (y compris les améliorations) ou nuance similaire pour milieux modérément acides avec raccord de qualité semi-supérieure</v>
      </c>
      <c r="C141" s="641"/>
      <c r="D141" s="641"/>
      <c r="E141" s="641"/>
      <c r="F141" s="641"/>
      <c r="G141" s="641"/>
      <c r="H141" s="641"/>
      <c r="I141" s="641"/>
      <c r="J141" s="641"/>
      <c r="K141" s="641"/>
      <c r="L141" s="769"/>
      <c r="M141" s="10"/>
    </row>
    <row r="142" spans="2:13" x14ac:dyDescent="0.25">
      <c r="B142" s="770"/>
      <c r="C142" s="647"/>
      <c r="D142" s="647"/>
      <c r="E142" s="647"/>
      <c r="F142" s="647"/>
      <c r="G142" s="647"/>
      <c r="H142" s="647"/>
      <c r="I142" s="647"/>
      <c r="J142" s="647"/>
      <c r="K142" s="647"/>
      <c r="L142" s="771"/>
      <c r="M142" s="10"/>
    </row>
    <row r="143" spans="2:13" x14ac:dyDescent="0.25">
      <c r="B143" s="747" t="str">
        <f>D$26</f>
        <v>tonnes</v>
      </c>
      <c r="C143" s="748"/>
      <c r="D143" s="748"/>
      <c r="E143" s="137"/>
      <c r="F143" s="137"/>
      <c r="G143" s="137"/>
      <c r="H143" s="137"/>
      <c r="I143" s="137"/>
      <c r="J143" s="137"/>
      <c r="K143" s="137"/>
      <c r="L143" s="138"/>
      <c r="M143" s="10"/>
    </row>
    <row r="144" spans="2:13" x14ac:dyDescent="0.25">
      <c r="B144" s="747" t="str">
        <f>D$27</f>
        <v>valeur d'achat nette rendue (CAD)</v>
      </c>
      <c r="C144" s="748"/>
      <c r="D144" s="748"/>
      <c r="E144" s="137"/>
      <c r="F144" s="137"/>
      <c r="G144" s="137"/>
      <c r="H144" s="137"/>
      <c r="I144" s="137"/>
      <c r="J144" s="137"/>
      <c r="K144" s="137"/>
      <c r="L144" s="138"/>
      <c r="M144" s="10"/>
    </row>
    <row r="145" spans="1:19" x14ac:dyDescent="0.25">
      <c r="B145" s="747" t="str">
        <f>D$28</f>
        <v>$ / tonne</v>
      </c>
      <c r="C145" s="748"/>
      <c r="D145" s="748"/>
      <c r="E145" s="151" t="str">
        <f t="shared" ref="E145:L145" si="22">IF(E143=0,"-",E144/E143)</f>
        <v>-</v>
      </c>
      <c r="F145" s="151" t="str">
        <f t="shared" si="22"/>
        <v>-</v>
      </c>
      <c r="G145" s="151" t="str">
        <f t="shared" si="22"/>
        <v>-</v>
      </c>
      <c r="H145" s="151" t="str">
        <f t="shared" si="22"/>
        <v>-</v>
      </c>
      <c r="I145" s="151" t="str">
        <f t="shared" si="22"/>
        <v>-</v>
      </c>
      <c r="J145" s="151" t="str">
        <f t="shared" si="22"/>
        <v>-</v>
      </c>
      <c r="K145" s="151" t="str">
        <f t="shared" si="22"/>
        <v>-</v>
      </c>
      <c r="L145" s="152" t="str">
        <f t="shared" si="22"/>
        <v>-</v>
      </c>
      <c r="M145" s="10"/>
    </row>
    <row r="146" spans="1:19" x14ac:dyDescent="0.25">
      <c r="B146" s="316"/>
      <c r="C146" s="317"/>
      <c r="D146" s="317"/>
      <c r="E146" s="29"/>
      <c r="F146" s="29"/>
      <c r="G146" s="29"/>
      <c r="H146" s="29"/>
      <c r="I146" s="29"/>
      <c r="J146" s="29"/>
      <c r="K146" s="29"/>
      <c r="L146" s="30"/>
      <c r="M146" s="10"/>
    </row>
    <row r="147" spans="1:19" x14ac:dyDescent="0.25">
      <c r="B147" s="530" t="str">
        <f>IF(Intro!$G$20="English",O147,P147)</f>
        <v>Dans le tableau ci-dessous, « Erreur » signifie que les importations totales des produits de référence de votre entreprise dépassent les importations totales de votre entreprise pour cette période. Par conséquent, veuillez modifier les données ci-dessus si nécessaire.</v>
      </c>
      <c r="C147" s="531"/>
      <c r="D147" s="531"/>
      <c r="E147" s="531"/>
      <c r="F147" s="531"/>
      <c r="G147" s="531"/>
      <c r="H147" s="531"/>
      <c r="I147" s="531"/>
      <c r="J147" s="531"/>
      <c r="K147" s="531"/>
      <c r="L147" s="532"/>
      <c r="M147" s="10"/>
      <c r="O147" s="10" t="s">
        <v>361</v>
      </c>
      <c r="P147" s="10" t="s">
        <v>362</v>
      </c>
      <c r="S147" s="38"/>
    </row>
    <row r="148" spans="1:19" x14ac:dyDescent="0.25">
      <c r="B148" s="530"/>
      <c r="C148" s="531"/>
      <c r="D148" s="531"/>
      <c r="E148" s="531"/>
      <c r="F148" s="531"/>
      <c r="G148" s="531"/>
      <c r="H148" s="531"/>
      <c r="I148" s="531"/>
      <c r="J148" s="531"/>
      <c r="K148" s="531"/>
      <c r="L148" s="532"/>
      <c r="M148" s="10"/>
      <c r="S148" s="38"/>
    </row>
    <row r="149" spans="1:19" x14ac:dyDescent="0.25">
      <c r="B149" s="316"/>
      <c r="C149" s="317"/>
      <c r="D149" s="317"/>
      <c r="E149" s="29"/>
      <c r="F149" s="29"/>
      <c r="G149" s="29"/>
      <c r="H149" s="29"/>
      <c r="I149" s="29"/>
      <c r="J149" s="29"/>
      <c r="K149" s="29"/>
      <c r="L149" s="30"/>
      <c r="M149" s="10"/>
      <c r="S149" s="38"/>
    </row>
    <row r="150" spans="1:19" ht="14.1" customHeight="1" x14ac:dyDescent="0.25">
      <c r="B150" s="760" t="str">
        <f>Variables!D66</f>
        <v>Vérification - volume</v>
      </c>
      <c r="C150" s="761"/>
      <c r="D150" s="761"/>
      <c r="E150" s="761"/>
      <c r="F150" s="762"/>
      <c r="G150" s="320">
        <f>G80</f>
        <v>2024</v>
      </c>
      <c r="H150" s="320">
        <f>H80</f>
        <v>2025</v>
      </c>
      <c r="I150" s="320" t="str">
        <f>I80</f>
        <v>janv.-mars 2025</v>
      </c>
      <c r="J150" s="320" t="str">
        <f>J80</f>
        <v>janv.-mars 2026</v>
      </c>
      <c r="K150" s="225"/>
      <c r="L150" s="226"/>
      <c r="M150" s="10"/>
    </row>
    <row r="151" spans="1:19" ht="14.1" customHeight="1" x14ac:dyDescent="0.25">
      <c r="B151" s="789" t="str">
        <f>B98</f>
        <v>tonnes</v>
      </c>
      <c r="C151" s="790"/>
      <c r="D151" s="790"/>
      <c r="E151" s="790"/>
      <c r="F151" s="791"/>
      <c r="G151" s="187" t="str">
        <f>IF(SUM(E98:G98,E103:G103,E108:G108,E113:G113,E118:G118,E123:G123,E128:G128,E133:G133,E138:G138,E143:G143)&gt;H26,Variables!$D$67,Variables!$D$68)</f>
        <v>Correct</v>
      </c>
      <c r="H151" s="187" t="str">
        <f>IF(SUM(H98:K98,H103:K103,H108:K108,H113:K113,H118:K118,H123:K123,H128:K128,H133:K133,H138:K138,H143:K143)&gt;I26,Variables!$D$67,Variables!$D$68)</f>
        <v>Correct</v>
      </c>
      <c r="I151" s="187" t="str">
        <f>IF(SUM(H98,H103,H108,H113,H118,H123,H128,H133,H138,H143)&gt;J26,Variables!$D$67,Variables!$D$68)</f>
        <v>Correct</v>
      </c>
      <c r="J151" s="187" t="str">
        <f>IF(SUM(L98,L103,L108,L113,L118,L123,L128,L133,L138,L143)&gt;K26,Variables!$D$67,Variables!$D$68)</f>
        <v>Correct</v>
      </c>
      <c r="K151" s="225"/>
      <c r="L151" s="226"/>
      <c r="M151" s="10"/>
    </row>
    <row r="152" spans="1:19" ht="14.1" customHeight="1" x14ac:dyDescent="0.25">
      <c r="B152" s="763" t="str">
        <f>IF(Intro!$G$20="English",O152,P152)</f>
        <v>volume - total des importations des produits de référence (Question 3)</v>
      </c>
      <c r="C152" s="764"/>
      <c r="D152" s="764"/>
      <c r="E152" s="764"/>
      <c r="F152" s="765"/>
      <c r="G152" s="187">
        <f>SUM(E98:G98,E103:G103,E108:G108,E113:G113,E118:G118,E123:G123,E128:G128,E133:G133,E138:G138,E143:G143)</f>
        <v>0</v>
      </c>
      <c r="H152" s="187">
        <f>SUM(H98:K98,H103:K103,H108:K108,H113:K113,H118:K118,H123:K123,H128:K128,H133:K133,H138:K138,H143:K143)</f>
        <v>0</v>
      </c>
      <c r="I152" s="187">
        <f>SUM(H98,H103,H108,H113,H118,H123,H128,H133,H138,H143)</f>
        <v>0</v>
      </c>
      <c r="J152" s="187">
        <f>SUM(L98,L103,L108,L113,L118,L123,L128,L133,L138,L143)</f>
        <v>0</v>
      </c>
      <c r="K152" s="225"/>
      <c r="L152" s="226"/>
      <c r="M152" s="10"/>
      <c r="O152" s="10" t="s">
        <v>431</v>
      </c>
      <c r="P152" s="10" t="s">
        <v>432</v>
      </c>
    </row>
    <row r="153" spans="1:19" ht="14.1" customHeight="1" x14ac:dyDescent="0.25">
      <c r="B153" s="763" t="str">
        <f>IF(Intro!$G$20="English",O153,P153)</f>
        <v>volume - total des importations (Question 1)</v>
      </c>
      <c r="C153" s="764"/>
      <c r="D153" s="764"/>
      <c r="E153" s="764"/>
      <c r="F153" s="765"/>
      <c r="G153" s="187">
        <f>H26</f>
        <v>0</v>
      </c>
      <c r="H153" s="187">
        <f>I26</f>
        <v>0</v>
      </c>
      <c r="I153" s="187">
        <f>J26</f>
        <v>0</v>
      </c>
      <c r="J153" s="187">
        <f>K26</f>
        <v>0</v>
      </c>
      <c r="K153" s="225"/>
      <c r="L153" s="226"/>
      <c r="M153" s="10"/>
      <c r="O153" s="10" t="s">
        <v>433</v>
      </c>
      <c r="P153" s="10" t="s">
        <v>434</v>
      </c>
    </row>
    <row r="154" spans="1:19" x14ac:dyDescent="0.25">
      <c r="B154" s="760" t="str">
        <f>Variables!D70</f>
        <v>Vérification - valeur</v>
      </c>
      <c r="C154" s="761"/>
      <c r="D154" s="761"/>
      <c r="E154" s="761"/>
      <c r="F154" s="762"/>
      <c r="G154" s="320">
        <f>G150</f>
        <v>2024</v>
      </c>
      <c r="H154" s="320">
        <f>H150</f>
        <v>2025</v>
      </c>
      <c r="I154" s="320" t="str">
        <f>I150</f>
        <v>janv.-mars 2025</v>
      </c>
      <c r="J154" s="320" t="str">
        <f>J150</f>
        <v>janv.-mars 2026</v>
      </c>
      <c r="K154" s="225"/>
      <c r="L154" s="226"/>
      <c r="M154" s="10"/>
    </row>
    <row r="155" spans="1:19" ht="14.1" customHeight="1" x14ac:dyDescent="0.25">
      <c r="B155" s="789" t="str">
        <f>B99</f>
        <v>valeur d'achat nette rendue (CAD)</v>
      </c>
      <c r="C155" s="790"/>
      <c r="D155" s="790"/>
      <c r="E155" s="790"/>
      <c r="F155" s="791"/>
      <c r="G155" s="187" t="str">
        <f>IF(SUM(E99:G99,E104:G104,E109:G109,E114:G114,E119:G119,E124:G124,E129:G129,E134:G134,E139:G139,E144:G144)&gt;H27,Variables!$D$67,Variables!$D$68)</f>
        <v>Correct</v>
      </c>
      <c r="H155" s="187" t="str">
        <f>IF(SUM(H99:K99,H104:K104,H109:K109,H114:K114,H119:K119,H124:K124,H129:K129,H134:K134,H139:K139,H144:K144)&gt;I27,Variables!$D$67,Variables!$D$68)</f>
        <v>Correct</v>
      </c>
      <c r="I155" s="187" t="str">
        <f>IF(SUM(H99,H104,H109,H114,H119,H124,H129,H134,H139,H144)&gt;J27,Variables!$D$67,Variables!$D$68)</f>
        <v>Correct</v>
      </c>
      <c r="J155" s="187" t="str">
        <f>IF(SUM(L99,L104,L109,L114,L119,L124,L129,L134,L139,L144)&gt;K27,Variables!$D$67,Variables!$D$68)</f>
        <v>Correct</v>
      </c>
      <c r="K155" s="225"/>
      <c r="L155" s="226"/>
      <c r="M155" s="10"/>
    </row>
    <row r="156" spans="1:19" ht="14.1" customHeight="1" x14ac:dyDescent="0.25">
      <c r="B156" s="763" t="str">
        <f>IF(Intro!$G$20="English",O156,P156)</f>
        <v>valeur - total des importations des produits de référence (Question 3)</v>
      </c>
      <c r="C156" s="764"/>
      <c r="D156" s="764"/>
      <c r="E156" s="764"/>
      <c r="F156" s="765"/>
      <c r="G156" s="187">
        <f>SUM(E99:G99,E104:G104,E109:G109,E114:G114,E119:G119,E124:G124,E129:G129,E134:G134,E139:G139,E144:G144)</f>
        <v>0</v>
      </c>
      <c r="H156" s="187">
        <f>SUM(H99:K99,H104:K104,H109:K109,H114:K114,H119:K119,H124:K124,H129:K129,H134:K134,H139:K139,H144:K144)</f>
        <v>0</v>
      </c>
      <c r="I156" s="187">
        <f>SUM(H99,H104,H109,H114,H119,H124,H129,H134,H139,H144)</f>
        <v>0</v>
      </c>
      <c r="J156" s="187">
        <f>SUM(L99,L104,L109,L114,L119,L124,L129,L134,L139,L144)</f>
        <v>0</v>
      </c>
      <c r="K156" s="225"/>
      <c r="L156" s="226"/>
      <c r="M156" s="10"/>
      <c r="O156" s="10" t="s">
        <v>435</v>
      </c>
      <c r="P156" s="10" t="s">
        <v>436</v>
      </c>
    </row>
    <row r="157" spans="1:19" ht="14.1" customHeight="1" x14ac:dyDescent="0.25">
      <c r="B157" s="763" t="str">
        <f>IF(Intro!$G$20="English",O157,P157)</f>
        <v>valeur - total des importations (Question 1)</v>
      </c>
      <c r="C157" s="764"/>
      <c r="D157" s="764"/>
      <c r="E157" s="764"/>
      <c r="F157" s="765"/>
      <c r="G157" s="187">
        <f>H27</f>
        <v>0</v>
      </c>
      <c r="H157" s="187">
        <f>I27</f>
        <v>0</v>
      </c>
      <c r="I157" s="187">
        <f>J27</f>
        <v>0</v>
      </c>
      <c r="J157" s="187">
        <f>K27</f>
        <v>0</v>
      </c>
      <c r="K157" s="225"/>
      <c r="L157" s="226"/>
      <c r="M157" s="10"/>
      <c r="O157" s="10" t="s">
        <v>437</v>
      </c>
      <c r="P157" s="10" t="s">
        <v>438</v>
      </c>
    </row>
    <row r="158" spans="1:19" x14ac:dyDescent="0.25">
      <c r="B158" s="72"/>
      <c r="C158" s="82"/>
      <c r="D158" s="82"/>
      <c r="E158" s="82"/>
      <c r="F158" s="82"/>
      <c r="G158" s="82"/>
      <c r="H158" s="82"/>
      <c r="I158" s="82"/>
      <c r="J158" s="82"/>
      <c r="K158" s="82"/>
      <c r="L158" s="83"/>
      <c r="M158" s="10"/>
    </row>
    <row r="159" spans="1:19" s="207" customFormat="1" x14ac:dyDescent="0.25">
      <c r="A159" s="7"/>
      <c r="B159" s="91"/>
      <c r="C159" s="91"/>
      <c r="D159" s="89"/>
      <c r="E159" s="319"/>
      <c r="F159" s="319"/>
      <c r="G159" s="319"/>
      <c r="H159" s="319"/>
      <c r="I159" s="319"/>
      <c r="J159" s="319"/>
      <c r="K159" s="319"/>
      <c r="L159" s="319"/>
      <c r="M159" s="73"/>
    </row>
    <row r="160" spans="1:19" x14ac:dyDescent="0.25">
      <c r="B160" s="533" t="str">
        <f>IF(Intro!$G$20="English",O160,P160)</f>
        <v>VENTES AU CANADA D'IMPORTATIONS DE PRODUITS DE RÉFÉRENCE</v>
      </c>
      <c r="C160" s="534"/>
      <c r="D160" s="534"/>
      <c r="E160" s="534"/>
      <c r="F160" s="534"/>
      <c r="G160" s="534"/>
      <c r="H160" s="534"/>
      <c r="I160" s="534"/>
      <c r="J160" s="534"/>
      <c r="K160" s="534"/>
      <c r="L160" s="535"/>
      <c r="M160" s="10"/>
      <c r="O160" s="105" t="s">
        <v>336</v>
      </c>
      <c r="P160" s="105" t="s">
        <v>400</v>
      </c>
    </row>
    <row r="161" spans="2:16" x14ac:dyDescent="0.25">
      <c r="B161" s="671" t="s">
        <v>17</v>
      </c>
      <c r="C161" s="672"/>
      <c r="D161" s="672"/>
      <c r="E161" s="672"/>
      <c r="F161" s="672"/>
      <c r="G161" s="672"/>
      <c r="H161" s="672"/>
      <c r="I161" s="672"/>
      <c r="J161" s="672"/>
      <c r="K161" s="672"/>
      <c r="L161" s="673"/>
      <c r="M161" s="10"/>
    </row>
    <row r="162" spans="2:16" x14ac:dyDescent="0.25">
      <c r="B162" s="16"/>
      <c r="C162" s="35"/>
      <c r="D162" s="35"/>
      <c r="E162" s="36"/>
      <c r="F162" s="36"/>
      <c r="G162" s="36"/>
      <c r="H162" s="36"/>
      <c r="I162" s="36"/>
      <c r="J162" s="36"/>
      <c r="K162" s="36"/>
      <c r="L162" s="17"/>
      <c r="M162" s="10"/>
    </row>
    <row r="163" spans="2:16" x14ac:dyDescent="0.25">
      <c r="B163" s="530" t="str">
        <f>IF(Intro!$G$20="English",O163,P163)</f>
        <v>Indiquez le volume et la valeur des ventes d'importations au Canada pour chaque produit de référence :</v>
      </c>
      <c r="C163" s="531"/>
      <c r="D163" s="531"/>
      <c r="E163" s="531"/>
      <c r="F163" s="531"/>
      <c r="G163" s="531"/>
      <c r="H163" s="531"/>
      <c r="I163" s="531"/>
      <c r="J163" s="531"/>
      <c r="K163" s="531"/>
      <c r="L163" s="532"/>
      <c r="M163" s="10"/>
      <c r="O163" s="18" t="s">
        <v>171</v>
      </c>
      <c r="P163" s="10" t="s">
        <v>399</v>
      </c>
    </row>
    <row r="164" spans="2:16" x14ac:dyDescent="0.25">
      <c r="B164" s="530" t="str">
        <f>Pro!B22</f>
        <v>Note - Ne répondez à cette question que si votre entreprise a vendu les marchandises du 1er janvier 2023 au 31 mars 2026.</v>
      </c>
      <c r="C164" s="531"/>
      <c r="D164" s="531"/>
      <c r="E164" s="531"/>
      <c r="F164" s="531"/>
      <c r="G164" s="531"/>
      <c r="H164" s="531"/>
      <c r="I164" s="531"/>
      <c r="J164" s="531"/>
      <c r="K164" s="531"/>
      <c r="L164" s="532"/>
      <c r="M164" s="10"/>
      <c r="O164" s="18"/>
    </row>
    <row r="165" spans="2:16" x14ac:dyDescent="0.25">
      <c r="B165" s="316"/>
      <c r="C165" s="317"/>
      <c r="D165" s="35"/>
      <c r="E165" s="36"/>
      <c r="F165" s="36"/>
      <c r="G165" s="36"/>
      <c r="H165" s="36"/>
      <c r="I165" s="36"/>
      <c r="J165" s="36"/>
      <c r="K165" s="36"/>
      <c r="L165" s="17"/>
      <c r="M165" s="10"/>
      <c r="O165" s="18"/>
    </row>
    <row r="166" spans="2:16" x14ac:dyDescent="0.25">
      <c r="B166" s="772"/>
      <c r="C166" s="773"/>
      <c r="D166" s="774"/>
      <c r="E166" s="320" t="str">
        <f t="shared" ref="E166:L166" si="23">E95</f>
        <v>T2 - 2024</v>
      </c>
      <c r="F166" s="320" t="str">
        <f t="shared" si="23"/>
        <v>T3 - 2024</v>
      </c>
      <c r="G166" s="320" t="str">
        <f t="shared" si="23"/>
        <v>T4 - 2024</v>
      </c>
      <c r="H166" s="320" t="str">
        <f t="shared" si="23"/>
        <v>T1 - 2025</v>
      </c>
      <c r="I166" s="320" t="str">
        <f t="shared" si="23"/>
        <v>T2 - 2025</v>
      </c>
      <c r="J166" s="320" t="str">
        <f t="shared" si="23"/>
        <v>T3 - 2025</v>
      </c>
      <c r="K166" s="320" t="str">
        <f t="shared" si="23"/>
        <v>T4 - 2025</v>
      </c>
      <c r="L166" s="321" t="str">
        <f t="shared" si="23"/>
        <v>T1 - 2026</v>
      </c>
      <c r="M166" s="10"/>
      <c r="O166" s="18"/>
    </row>
    <row r="167" spans="2:16" x14ac:dyDescent="0.25">
      <c r="B167" s="768" t="str">
        <f>B96</f>
        <v xml:space="preserve">Tubage sans soudure L80 (y compris les améliorations) avec raccord API </v>
      </c>
      <c r="C167" s="641"/>
      <c r="D167" s="641"/>
      <c r="E167" s="641"/>
      <c r="F167" s="641"/>
      <c r="G167" s="641"/>
      <c r="H167" s="641"/>
      <c r="I167" s="641"/>
      <c r="J167" s="641"/>
      <c r="K167" s="641"/>
      <c r="L167" s="769"/>
      <c r="M167" s="10"/>
    </row>
    <row r="168" spans="2:16" x14ac:dyDescent="0.25">
      <c r="B168" s="770"/>
      <c r="C168" s="647"/>
      <c r="D168" s="647"/>
      <c r="E168" s="647"/>
      <c r="F168" s="647"/>
      <c r="G168" s="647"/>
      <c r="H168" s="647"/>
      <c r="I168" s="647"/>
      <c r="J168" s="647"/>
      <c r="K168" s="647"/>
      <c r="L168" s="771"/>
      <c r="M168" s="10"/>
    </row>
    <row r="169" spans="2:16" x14ac:dyDescent="0.25">
      <c r="B169" s="747" t="str">
        <f>D$31</f>
        <v>tonnes</v>
      </c>
      <c r="C169" s="748"/>
      <c r="D169" s="748"/>
      <c r="E169" s="137"/>
      <c r="F169" s="137"/>
      <c r="G169" s="137"/>
      <c r="H169" s="137"/>
      <c r="I169" s="137"/>
      <c r="J169" s="137"/>
      <c r="K169" s="137"/>
      <c r="L169" s="138"/>
      <c r="M169" s="10"/>
    </row>
    <row r="170" spans="2:16" x14ac:dyDescent="0.25">
      <c r="B170" s="747" t="str">
        <f>D$32</f>
        <v>valeur de vente nette rendue (CAD)</v>
      </c>
      <c r="C170" s="748"/>
      <c r="D170" s="748"/>
      <c r="E170" s="137"/>
      <c r="F170" s="137"/>
      <c r="G170" s="137"/>
      <c r="H170" s="137"/>
      <c r="I170" s="137"/>
      <c r="J170" s="137"/>
      <c r="K170" s="137"/>
      <c r="L170" s="138"/>
      <c r="M170" s="10"/>
    </row>
    <row r="171" spans="2:16" x14ac:dyDescent="0.25">
      <c r="B171" s="747" t="str">
        <f>D$33</f>
        <v>$ / tonne</v>
      </c>
      <c r="C171" s="748"/>
      <c r="D171" s="748"/>
      <c r="E171" s="151" t="str">
        <f t="shared" ref="E171:L171" si="24">IF(E169=0,"-",E170/E169)</f>
        <v>-</v>
      </c>
      <c r="F171" s="151" t="str">
        <f t="shared" si="24"/>
        <v>-</v>
      </c>
      <c r="G171" s="151" t="str">
        <f t="shared" si="24"/>
        <v>-</v>
      </c>
      <c r="H171" s="151" t="str">
        <f t="shared" si="24"/>
        <v>-</v>
      </c>
      <c r="I171" s="151" t="str">
        <f t="shared" si="24"/>
        <v>-</v>
      </c>
      <c r="J171" s="151" t="str">
        <f t="shared" si="24"/>
        <v>-</v>
      </c>
      <c r="K171" s="151" t="str">
        <f t="shared" si="24"/>
        <v>-</v>
      </c>
      <c r="L171" s="152" t="str">
        <f t="shared" si="24"/>
        <v>-</v>
      </c>
      <c r="M171" s="10"/>
    </row>
    <row r="172" spans="2:16" x14ac:dyDescent="0.25">
      <c r="B172" s="768" t="str">
        <f>B101</f>
        <v>Tubage soudé L80 (y compris les améliorations) avec raccord API</v>
      </c>
      <c r="C172" s="641"/>
      <c r="D172" s="641"/>
      <c r="E172" s="641"/>
      <c r="F172" s="641"/>
      <c r="G172" s="641"/>
      <c r="H172" s="641"/>
      <c r="I172" s="641"/>
      <c r="J172" s="641"/>
      <c r="K172" s="641"/>
      <c r="L172" s="769"/>
      <c r="M172" s="10"/>
    </row>
    <row r="173" spans="2:16" x14ac:dyDescent="0.25">
      <c r="B173" s="770"/>
      <c r="C173" s="647"/>
      <c r="D173" s="647"/>
      <c r="E173" s="647"/>
      <c r="F173" s="647"/>
      <c r="G173" s="647"/>
      <c r="H173" s="647"/>
      <c r="I173" s="647"/>
      <c r="J173" s="647"/>
      <c r="K173" s="647"/>
      <c r="L173" s="771"/>
      <c r="M173" s="10"/>
    </row>
    <row r="174" spans="2:16" x14ac:dyDescent="0.25">
      <c r="B174" s="747" t="str">
        <f>D$31</f>
        <v>tonnes</v>
      </c>
      <c r="C174" s="748"/>
      <c r="D174" s="748"/>
      <c r="E174" s="137"/>
      <c r="F174" s="137"/>
      <c r="G174" s="137"/>
      <c r="H174" s="137"/>
      <c r="I174" s="137"/>
      <c r="J174" s="137"/>
      <c r="K174" s="137"/>
      <c r="L174" s="138"/>
      <c r="M174" s="10"/>
    </row>
    <row r="175" spans="2:16" x14ac:dyDescent="0.25">
      <c r="B175" s="747" t="str">
        <f>D$32</f>
        <v>valeur de vente nette rendue (CAD)</v>
      </c>
      <c r="C175" s="748"/>
      <c r="D175" s="748"/>
      <c r="E175" s="137"/>
      <c r="F175" s="137"/>
      <c r="G175" s="137"/>
      <c r="H175" s="137"/>
      <c r="I175" s="137"/>
      <c r="J175" s="137"/>
      <c r="K175" s="137"/>
      <c r="L175" s="138"/>
      <c r="M175" s="10"/>
    </row>
    <row r="176" spans="2:16" x14ac:dyDescent="0.25">
      <c r="B176" s="747" t="str">
        <f>D$33</f>
        <v>$ / tonne</v>
      </c>
      <c r="C176" s="748"/>
      <c r="D176" s="748"/>
      <c r="E176" s="151" t="str">
        <f>IF(E174=0,"-",E175/E174)</f>
        <v>-</v>
      </c>
      <c r="F176" s="151" t="str">
        <f t="shared" ref="F176:L176" si="25">IF(F174=0,"-",F175/F174)</f>
        <v>-</v>
      </c>
      <c r="G176" s="151" t="str">
        <f t="shared" si="25"/>
        <v>-</v>
      </c>
      <c r="H176" s="151" t="str">
        <f t="shared" si="25"/>
        <v>-</v>
      </c>
      <c r="I176" s="151" t="str">
        <f t="shared" si="25"/>
        <v>-</v>
      </c>
      <c r="J176" s="151" t="str">
        <f t="shared" si="25"/>
        <v>-</v>
      </c>
      <c r="K176" s="151" t="str">
        <f t="shared" si="25"/>
        <v>-</v>
      </c>
      <c r="L176" s="152" t="str">
        <f t="shared" si="25"/>
        <v>-</v>
      </c>
      <c r="M176" s="10"/>
    </row>
    <row r="177" spans="2:13" x14ac:dyDescent="0.25">
      <c r="B177" s="768" t="str">
        <f>B106</f>
        <v xml:space="preserve">Tubage sans soudure L80 (y compris les améliorations) avec raccord de qualité semi-supérieure </v>
      </c>
      <c r="C177" s="641"/>
      <c r="D177" s="641"/>
      <c r="E177" s="641"/>
      <c r="F177" s="641"/>
      <c r="G177" s="641"/>
      <c r="H177" s="641"/>
      <c r="I177" s="641"/>
      <c r="J177" s="641"/>
      <c r="K177" s="641"/>
      <c r="L177" s="769"/>
      <c r="M177" s="10"/>
    </row>
    <row r="178" spans="2:13" x14ac:dyDescent="0.25">
      <c r="B178" s="770"/>
      <c r="C178" s="647"/>
      <c r="D178" s="647"/>
      <c r="E178" s="647"/>
      <c r="F178" s="647"/>
      <c r="G178" s="647"/>
      <c r="H178" s="647"/>
      <c r="I178" s="647"/>
      <c r="J178" s="647"/>
      <c r="K178" s="647"/>
      <c r="L178" s="771"/>
      <c r="M178" s="10"/>
    </row>
    <row r="179" spans="2:13" x14ac:dyDescent="0.25">
      <c r="B179" s="747" t="str">
        <f>D$31</f>
        <v>tonnes</v>
      </c>
      <c r="C179" s="748"/>
      <c r="D179" s="748"/>
      <c r="E179" s="137"/>
      <c r="F179" s="137"/>
      <c r="G179" s="137"/>
      <c r="H179" s="137"/>
      <c r="I179" s="137"/>
      <c r="J179" s="137"/>
      <c r="K179" s="137"/>
      <c r="L179" s="138"/>
      <c r="M179" s="10"/>
    </row>
    <row r="180" spans="2:13" x14ac:dyDescent="0.25">
      <c r="B180" s="747" t="str">
        <f>D$32</f>
        <v>valeur de vente nette rendue (CAD)</v>
      </c>
      <c r="C180" s="748"/>
      <c r="D180" s="748"/>
      <c r="E180" s="137"/>
      <c r="F180" s="137"/>
      <c r="G180" s="137"/>
      <c r="H180" s="137"/>
      <c r="I180" s="137"/>
      <c r="J180" s="137"/>
      <c r="K180" s="137"/>
      <c r="L180" s="138"/>
      <c r="M180" s="10"/>
    </row>
    <row r="181" spans="2:13" x14ac:dyDescent="0.25">
      <c r="B181" s="747" t="str">
        <f>D$33</f>
        <v>$ / tonne</v>
      </c>
      <c r="C181" s="748"/>
      <c r="D181" s="748"/>
      <c r="E181" s="151" t="str">
        <f>IF(E179=0,"-",E180/E179)</f>
        <v>-</v>
      </c>
      <c r="F181" s="151" t="str">
        <f t="shared" ref="F181:L181" si="26">IF(F179=0,"-",F180/F179)</f>
        <v>-</v>
      </c>
      <c r="G181" s="151" t="str">
        <f t="shared" si="26"/>
        <v>-</v>
      </c>
      <c r="H181" s="151" t="str">
        <f t="shared" si="26"/>
        <v>-</v>
      </c>
      <c r="I181" s="151" t="str">
        <f t="shared" si="26"/>
        <v>-</v>
      </c>
      <c r="J181" s="151" t="str">
        <f t="shared" si="26"/>
        <v>-</v>
      </c>
      <c r="K181" s="151" t="str">
        <f t="shared" si="26"/>
        <v>-</v>
      </c>
      <c r="L181" s="152" t="str">
        <f t="shared" si="26"/>
        <v>-</v>
      </c>
      <c r="M181" s="10"/>
    </row>
    <row r="182" spans="2:13" x14ac:dyDescent="0.25">
      <c r="B182" s="768" t="str">
        <f>B111</f>
        <v xml:space="preserve">Tubage soudé L80 (y compris les améliorations) avec raccord de qualité semi-supérieure </v>
      </c>
      <c r="C182" s="641"/>
      <c r="D182" s="641"/>
      <c r="E182" s="641"/>
      <c r="F182" s="641"/>
      <c r="G182" s="641"/>
      <c r="H182" s="641"/>
      <c r="I182" s="641"/>
      <c r="J182" s="641"/>
      <c r="K182" s="641"/>
      <c r="L182" s="769"/>
      <c r="M182" s="10"/>
    </row>
    <row r="183" spans="2:13" x14ac:dyDescent="0.25">
      <c r="B183" s="770"/>
      <c r="C183" s="647"/>
      <c r="D183" s="647"/>
      <c r="E183" s="647"/>
      <c r="F183" s="647"/>
      <c r="G183" s="647"/>
      <c r="H183" s="647"/>
      <c r="I183" s="647"/>
      <c r="J183" s="647"/>
      <c r="K183" s="647"/>
      <c r="L183" s="771"/>
      <c r="M183" s="10"/>
    </row>
    <row r="184" spans="2:13" x14ac:dyDescent="0.25">
      <c r="B184" s="747" t="str">
        <f>D$31</f>
        <v>tonnes</v>
      </c>
      <c r="C184" s="748"/>
      <c r="D184" s="748"/>
      <c r="E184" s="137"/>
      <c r="F184" s="137"/>
      <c r="G184" s="137"/>
      <c r="H184" s="137"/>
      <c r="I184" s="137"/>
      <c r="J184" s="137"/>
      <c r="K184" s="137"/>
      <c r="L184" s="138"/>
      <c r="M184" s="10"/>
    </row>
    <row r="185" spans="2:13" x14ac:dyDescent="0.25">
      <c r="B185" s="747" t="str">
        <f>D$32</f>
        <v>valeur de vente nette rendue (CAD)</v>
      </c>
      <c r="C185" s="748"/>
      <c r="D185" s="748"/>
      <c r="E185" s="137"/>
      <c r="F185" s="137"/>
      <c r="G185" s="137"/>
      <c r="H185" s="137"/>
      <c r="I185" s="137"/>
      <c r="J185" s="137"/>
      <c r="K185" s="137"/>
      <c r="L185" s="138"/>
      <c r="M185" s="10"/>
    </row>
    <row r="186" spans="2:13" x14ac:dyDescent="0.25">
      <c r="B186" s="747" t="str">
        <f>D$33</f>
        <v>$ / tonne</v>
      </c>
      <c r="C186" s="748"/>
      <c r="D186" s="748"/>
      <c r="E186" s="151" t="str">
        <f>IF(E184=0,"-",E185/E184)</f>
        <v>-</v>
      </c>
      <c r="F186" s="151" t="str">
        <f t="shared" ref="F186:L186" si="27">IF(F184=0,"-",F185/F184)</f>
        <v>-</v>
      </c>
      <c r="G186" s="151" t="str">
        <f t="shared" si="27"/>
        <v>-</v>
      </c>
      <c r="H186" s="151" t="str">
        <f t="shared" si="27"/>
        <v>-</v>
      </c>
      <c r="I186" s="151" t="str">
        <f t="shared" si="27"/>
        <v>-</v>
      </c>
      <c r="J186" s="151" t="str">
        <f t="shared" si="27"/>
        <v>-</v>
      </c>
      <c r="K186" s="151" t="str">
        <f t="shared" si="27"/>
        <v>-</v>
      </c>
      <c r="L186" s="152" t="str">
        <f t="shared" si="27"/>
        <v>-</v>
      </c>
      <c r="M186" s="10"/>
    </row>
    <row r="187" spans="2:13" x14ac:dyDescent="0.25">
      <c r="B187" s="768" t="str">
        <f>B116</f>
        <v xml:space="preserve">Tubage sans soudure P110 (y compris les améliorations) avec raccord API </v>
      </c>
      <c r="C187" s="641"/>
      <c r="D187" s="641"/>
      <c r="E187" s="641"/>
      <c r="F187" s="641"/>
      <c r="G187" s="641"/>
      <c r="H187" s="641"/>
      <c r="I187" s="641"/>
      <c r="J187" s="641"/>
      <c r="K187" s="641"/>
      <c r="L187" s="769"/>
      <c r="M187" s="10"/>
    </row>
    <row r="188" spans="2:13" x14ac:dyDescent="0.25">
      <c r="B188" s="770"/>
      <c r="C188" s="647"/>
      <c r="D188" s="647"/>
      <c r="E188" s="647"/>
      <c r="F188" s="647"/>
      <c r="G188" s="647"/>
      <c r="H188" s="647"/>
      <c r="I188" s="647"/>
      <c r="J188" s="647"/>
      <c r="K188" s="647"/>
      <c r="L188" s="771"/>
      <c r="M188" s="10"/>
    </row>
    <row r="189" spans="2:13" x14ac:dyDescent="0.25">
      <c r="B189" s="747" t="str">
        <f>D$31</f>
        <v>tonnes</v>
      </c>
      <c r="C189" s="748"/>
      <c r="D189" s="748"/>
      <c r="E189" s="137"/>
      <c r="F189" s="137"/>
      <c r="G189" s="137"/>
      <c r="H189" s="137"/>
      <c r="I189" s="137"/>
      <c r="J189" s="137"/>
      <c r="K189" s="137"/>
      <c r="L189" s="138"/>
      <c r="M189" s="10"/>
    </row>
    <row r="190" spans="2:13" x14ac:dyDescent="0.25">
      <c r="B190" s="747" t="str">
        <f>D$32</f>
        <v>valeur de vente nette rendue (CAD)</v>
      </c>
      <c r="C190" s="748"/>
      <c r="D190" s="748"/>
      <c r="E190" s="137"/>
      <c r="F190" s="137"/>
      <c r="G190" s="137"/>
      <c r="H190" s="137"/>
      <c r="I190" s="137"/>
      <c r="J190" s="137"/>
      <c r="K190" s="137"/>
      <c r="L190" s="138"/>
      <c r="M190" s="10"/>
    </row>
    <row r="191" spans="2:13" x14ac:dyDescent="0.25">
      <c r="B191" s="747" t="str">
        <f>D$33</f>
        <v>$ / tonne</v>
      </c>
      <c r="C191" s="748"/>
      <c r="D191" s="748"/>
      <c r="E191" s="151" t="str">
        <f>IF(E189=0,"-",E190/E189)</f>
        <v>-</v>
      </c>
      <c r="F191" s="151" t="str">
        <f t="shared" ref="F191:L191" si="28">IF(F189=0,"-",F190/F189)</f>
        <v>-</v>
      </c>
      <c r="G191" s="151" t="str">
        <f t="shared" si="28"/>
        <v>-</v>
      </c>
      <c r="H191" s="151" t="str">
        <f t="shared" si="28"/>
        <v>-</v>
      </c>
      <c r="I191" s="151" t="str">
        <f t="shared" si="28"/>
        <v>-</v>
      </c>
      <c r="J191" s="151" t="str">
        <f t="shared" si="28"/>
        <v>-</v>
      </c>
      <c r="K191" s="151" t="str">
        <f t="shared" si="28"/>
        <v>-</v>
      </c>
      <c r="L191" s="152" t="str">
        <f t="shared" si="28"/>
        <v>-</v>
      </c>
      <c r="M191" s="10"/>
    </row>
    <row r="192" spans="2:13" x14ac:dyDescent="0.25">
      <c r="B192" s="768" t="str">
        <f>B121</f>
        <v xml:space="preserve">Tubage soudé P110 (y compris les améliorations) avec raccord API </v>
      </c>
      <c r="C192" s="641"/>
      <c r="D192" s="641"/>
      <c r="E192" s="641"/>
      <c r="F192" s="641"/>
      <c r="G192" s="641"/>
      <c r="H192" s="641"/>
      <c r="I192" s="641"/>
      <c r="J192" s="641"/>
      <c r="K192" s="641"/>
      <c r="L192" s="769"/>
      <c r="M192" s="10"/>
    </row>
    <row r="193" spans="2:13" x14ac:dyDescent="0.25">
      <c r="B193" s="770"/>
      <c r="C193" s="647"/>
      <c r="D193" s="647"/>
      <c r="E193" s="647"/>
      <c r="F193" s="647"/>
      <c r="G193" s="647"/>
      <c r="H193" s="647"/>
      <c r="I193" s="647"/>
      <c r="J193" s="647"/>
      <c r="K193" s="647"/>
      <c r="L193" s="771"/>
      <c r="M193" s="10"/>
    </row>
    <row r="194" spans="2:13" x14ac:dyDescent="0.25">
      <c r="B194" s="747" t="str">
        <f>D$31</f>
        <v>tonnes</v>
      </c>
      <c r="C194" s="748"/>
      <c r="D194" s="748"/>
      <c r="E194" s="137"/>
      <c r="F194" s="137"/>
      <c r="G194" s="137"/>
      <c r="H194" s="137"/>
      <c r="I194" s="137"/>
      <c r="J194" s="137"/>
      <c r="K194" s="137"/>
      <c r="L194" s="138"/>
      <c r="M194" s="10"/>
    </row>
    <row r="195" spans="2:13" x14ac:dyDescent="0.25">
      <c r="B195" s="747" t="str">
        <f>D$32</f>
        <v>valeur de vente nette rendue (CAD)</v>
      </c>
      <c r="C195" s="748"/>
      <c r="D195" s="748"/>
      <c r="E195" s="137"/>
      <c r="F195" s="137"/>
      <c r="G195" s="137"/>
      <c r="H195" s="137"/>
      <c r="I195" s="137"/>
      <c r="J195" s="137"/>
      <c r="K195" s="137"/>
      <c r="L195" s="138"/>
      <c r="M195" s="10"/>
    </row>
    <row r="196" spans="2:13" x14ac:dyDescent="0.25">
      <c r="B196" s="747" t="str">
        <f>D$33</f>
        <v>$ / tonne</v>
      </c>
      <c r="C196" s="748"/>
      <c r="D196" s="748"/>
      <c r="E196" s="151" t="str">
        <f>IF(E194=0,"-",E195/E194)</f>
        <v>-</v>
      </c>
      <c r="F196" s="151" t="str">
        <f t="shared" ref="F196:L196" si="29">IF(F194=0,"-",F195/F194)</f>
        <v>-</v>
      </c>
      <c r="G196" s="151" t="str">
        <f t="shared" si="29"/>
        <v>-</v>
      </c>
      <c r="H196" s="151" t="str">
        <f t="shared" si="29"/>
        <v>-</v>
      </c>
      <c r="I196" s="151" t="str">
        <f t="shared" si="29"/>
        <v>-</v>
      </c>
      <c r="J196" s="151" t="str">
        <f t="shared" si="29"/>
        <v>-</v>
      </c>
      <c r="K196" s="151" t="str">
        <f t="shared" si="29"/>
        <v>-</v>
      </c>
      <c r="L196" s="152" t="str">
        <f t="shared" si="29"/>
        <v>-</v>
      </c>
      <c r="M196" s="10"/>
    </row>
    <row r="197" spans="2:13" x14ac:dyDescent="0.25">
      <c r="B197" s="768" t="str">
        <f>B126</f>
        <v>Tubage sans soudure P110 (y compris les améliorations) avec raccord de qualité semi-supérieure</v>
      </c>
      <c r="C197" s="641"/>
      <c r="D197" s="641"/>
      <c r="E197" s="641"/>
      <c r="F197" s="641"/>
      <c r="G197" s="641"/>
      <c r="H197" s="641"/>
      <c r="I197" s="641"/>
      <c r="J197" s="641"/>
      <c r="K197" s="641"/>
      <c r="L197" s="769"/>
      <c r="M197" s="10"/>
    </row>
    <row r="198" spans="2:13" x14ac:dyDescent="0.25">
      <c r="B198" s="770"/>
      <c r="C198" s="647"/>
      <c r="D198" s="647"/>
      <c r="E198" s="647"/>
      <c r="F198" s="647"/>
      <c r="G198" s="647"/>
      <c r="H198" s="647"/>
      <c r="I198" s="647"/>
      <c r="J198" s="647"/>
      <c r="K198" s="647"/>
      <c r="L198" s="771"/>
      <c r="M198" s="10"/>
    </row>
    <row r="199" spans="2:13" x14ac:dyDescent="0.25">
      <c r="B199" s="747" t="str">
        <f>D$31</f>
        <v>tonnes</v>
      </c>
      <c r="C199" s="748"/>
      <c r="D199" s="748"/>
      <c r="E199" s="137"/>
      <c r="F199" s="137"/>
      <c r="G199" s="137"/>
      <c r="H199" s="137"/>
      <c r="I199" s="137"/>
      <c r="J199" s="137"/>
      <c r="K199" s="137"/>
      <c r="L199" s="138"/>
      <c r="M199" s="10"/>
    </row>
    <row r="200" spans="2:13" x14ac:dyDescent="0.25">
      <c r="B200" s="747" t="str">
        <f>D$32</f>
        <v>valeur de vente nette rendue (CAD)</v>
      </c>
      <c r="C200" s="748"/>
      <c r="D200" s="748"/>
      <c r="E200" s="137"/>
      <c r="F200" s="137"/>
      <c r="G200" s="137"/>
      <c r="H200" s="137"/>
      <c r="I200" s="137"/>
      <c r="J200" s="137"/>
      <c r="K200" s="137"/>
      <c r="L200" s="138"/>
      <c r="M200" s="10"/>
    </row>
    <row r="201" spans="2:13" x14ac:dyDescent="0.25">
      <c r="B201" s="747" t="str">
        <f>D$33</f>
        <v>$ / tonne</v>
      </c>
      <c r="C201" s="748"/>
      <c r="D201" s="748"/>
      <c r="E201" s="151" t="str">
        <f>IF(E199=0,"-",E200/E199)</f>
        <v>-</v>
      </c>
      <c r="F201" s="151" t="str">
        <f t="shared" ref="F201:L201" si="30">IF(F199=0,"-",F200/F199)</f>
        <v>-</v>
      </c>
      <c r="G201" s="151" t="str">
        <f t="shared" si="30"/>
        <v>-</v>
      </c>
      <c r="H201" s="151" t="str">
        <f t="shared" si="30"/>
        <v>-</v>
      </c>
      <c r="I201" s="151" t="str">
        <f t="shared" si="30"/>
        <v>-</v>
      </c>
      <c r="J201" s="151" t="str">
        <f t="shared" si="30"/>
        <v>-</v>
      </c>
      <c r="K201" s="151" t="str">
        <f t="shared" si="30"/>
        <v>-</v>
      </c>
      <c r="L201" s="152" t="str">
        <f t="shared" si="30"/>
        <v>-</v>
      </c>
      <c r="M201" s="10"/>
    </row>
    <row r="202" spans="2:13" x14ac:dyDescent="0.25">
      <c r="B202" s="768" t="str">
        <f>B131</f>
        <v>Tubage soudé P110 (y compris les améliorations) avec raccord de qualité semi-supérieure</v>
      </c>
      <c r="C202" s="641"/>
      <c r="D202" s="641"/>
      <c r="E202" s="641"/>
      <c r="F202" s="641"/>
      <c r="G202" s="641"/>
      <c r="H202" s="641"/>
      <c r="I202" s="641"/>
      <c r="J202" s="641"/>
      <c r="K202" s="641"/>
      <c r="L202" s="769"/>
      <c r="M202" s="10"/>
    </row>
    <row r="203" spans="2:13" x14ac:dyDescent="0.25">
      <c r="B203" s="770"/>
      <c r="C203" s="647"/>
      <c r="D203" s="647"/>
      <c r="E203" s="647"/>
      <c r="F203" s="647"/>
      <c r="G203" s="647"/>
      <c r="H203" s="647"/>
      <c r="I203" s="647"/>
      <c r="J203" s="647"/>
      <c r="K203" s="647"/>
      <c r="L203" s="771"/>
      <c r="M203" s="10"/>
    </row>
    <row r="204" spans="2:13" x14ac:dyDescent="0.25">
      <c r="B204" s="747" t="str">
        <f>D$31</f>
        <v>tonnes</v>
      </c>
      <c r="C204" s="748"/>
      <c r="D204" s="748"/>
      <c r="E204" s="137"/>
      <c r="F204" s="137"/>
      <c r="G204" s="137"/>
      <c r="H204" s="137"/>
      <c r="I204" s="137"/>
      <c r="J204" s="137"/>
      <c r="K204" s="137"/>
      <c r="L204" s="138"/>
      <c r="M204" s="10"/>
    </row>
    <row r="205" spans="2:13" x14ac:dyDescent="0.25">
      <c r="B205" s="747" t="str">
        <f>D$32</f>
        <v>valeur de vente nette rendue (CAD)</v>
      </c>
      <c r="C205" s="748"/>
      <c r="D205" s="748"/>
      <c r="E205" s="137"/>
      <c r="F205" s="137"/>
      <c r="G205" s="137"/>
      <c r="H205" s="137"/>
      <c r="I205" s="137"/>
      <c r="J205" s="137"/>
      <c r="K205" s="137"/>
      <c r="L205" s="138"/>
      <c r="M205" s="10"/>
    </row>
    <row r="206" spans="2:13" x14ac:dyDescent="0.25">
      <c r="B206" s="747" t="str">
        <f>D$33</f>
        <v>$ / tonne</v>
      </c>
      <c r="C206" s="748"/>
      <c r="D206" s="748"/>
      <c r="E206" s="151" t="str">
        <f>IF(E204=0,"-",E205/E204)</f>
        <v>-</v>
      </c>
      <c r="F206" s="151" t="str">
        <f t="shared" ref="F206:L206" si="31">IF(F204=0,"-",F205/F204)</f>
        <v>-</v>
      </c>
      <c r="G206" s="151" t="str">
        <f t="shared" si="31"/>
        <v>-</v>
      </c>
      <c r="H206" s="151" t="str">
        <f t="shared" si="31"/>
        <v>-</v>
      </c>
      <c r="I206" s="151" t="str">
        <f t="shared" si="31"/>
        <v>-</v>
      </c>
      <c r="J206" s="151" t="str">
        <f t="shared" si="31"/>
        <v>-</v>
      </c>
      <c r="K206" s="151" t="str">
        <f t="shared" si="31"/>
        <v>-</v>
      </c>
      <c r="L206" s="152" t="str">
        <f t="shared" si="31"/>
        <v>-</v>
      </c>
      <c r="M206" s="10"/>
    </row>
    <row r="207" spans="2:13" x14ac:dyDescent="0.25">
      <c r="B207" s="768" t="str">
        <f>B136</f>
        <v>Tubage sans soudure T95 (y compris les améliorations) avec raccord semi-supérieure</v>
      </c>
      <c r="C207" s="641"/>
      <c r="D207" s="641"/>
      <c r="E207" s="641"/>
      <c r="F207" s="641"/>
      <c r="G207" s="641"/>
      <c r="H207" s="641"/>
      <c r="I207" s="641"/>
      <c r="J207" s="641"/>
      <c r="K207" s="641"/>
      <c r="L207" s="769"/>
      <c r="M207" s="10"/>
    </row>
    <row r="208" spans="2:13" x14ac:dyDescent="0.25">
      <c r="B208" s="770"/>
      <c r="C208" s="647"/>
      <c r="D208" s="647"/>
      <c r="E208" s="647"/>
      <c r="F208" s="647"/>
      <c r="G208" s="647"/>
      <c r="H208" s="647"/>
      <c r="I208" s="647"/>
      <c r="J208" s="647"/>
      <c r="K208" s="647"/>
      <c r="L208" s="771"/>
      <c r="M208" s="10"/>
    </row>
    <row r="209" spans="2:19" x14ac:dyDescent="0.25">
      <c r="B209" s="747" t="str">
        <f>D$31</f>
        <v>tonnes</v>
      </c>
      <c r="C209" s="748"/>
      <c r="D209" s="748"/>
      <c r="E209" s="137"/>
      <c r="F209" s="137"/>
      <c r="G209" s="137"/>
      <c r="H209" s="137"/>
      <c r="I209" s="137"/>
      <c r="J209" s="137"/>
      <c r="K209" s="137"/>
      <c r="L209" s="138"/>
      <c r="M209" s="10"/>
    </row>
    <row r="210" spans="2:19" x14ac:dyDescent="0.25">
      <c r="B210" s="747" t="str">
        <f>D$32</f>
        <v>valeur de vente nette rendue (CAD)</v>
      </c>
      <c r="C210" s="748"/>
      <c r="D210" s="748"/>
      <c r="E210" s="137"/>
      <c r="F210" s="137"/>
      <c r="G210" s="137"/>
      <c r="H210" s="137"/>
      <c r="I210" s="137"/>
      <c r="J210" s="137"/>
      <c r="K210" s="137"/>
      <c r="L210" s="138"/>
      <c r="M210" s="10"/>
    </row>
    <row r="211" spans="2:19" x14ac:dyDescent="0.25">
      <c r="B211" s="747" t="str">
        <f>D$33</f>
        <v>$ / tonne</v>
      </c>
      <c r="C211" s="748"/>
      <c r="D211" s="748"/>
      <c r="E211" s="151" t="str">
        <f>IF(E209=0,"-",E210/E209)</f>
        <v>-</v>
      </c>
      <c r="F211" s="151" t="str">
        <f t="shared" ref="F211:L211" si="32">IF(F209=0,"-",F210/F209)</f>
        <v>-</v>
      </c>
      <c r="G211" s="151" t="str">
        <f t="shared" si="32"/>
        <v>-</v>
      </c>
      <c r="H211" s="151" t="str">
        <f t="shared" si="32"/>
        <v>-</v>
      </c>
      <c r="I211" s="151" t="str">
        <f t="shared" si="32"/>
        <v>-</v>
      </c>
      <c r="J211" s="151" t="str">
        <f t="shared" si="32"/>
        <v>-</v>
      </c>
      <c r="K211" s="151" t="str">
        <f t="shared" si="32"/>
        <v>-</v>
      </c>
      <c r="L211" s="152" t="str">
        <f t="shared" si="32"/>
        <v>-</v>
      </c>
      <c r="M211" s="10"/>
    </row>
    <row r="212" spans="2:19" x14ac:dyDescent="0.25">
      <c r="B212" s="768" t="str">
        <f>B141</f>
        <v>Tubage sans soudure P110S (y compris les améliorations) ou nuance similaire pour milieux modérément acides avec raccord de qualité semi-supérieure</v>
      </c>
      <c r="C212" s="641"/>
      <c r="D212" s="641"/>
      <c r="E212" s="641"/>
      <c r="F212" s="641"/>
      <c r="G212" s="641"/>
      <c r="H212" s="641"/>
      <c r="I212" s="641"/>
      <c r="J212" s="641"/>
      <c r="K212" s="641"/>
      <c r="L212" s="769"/>
      <c r="M212" s="10"/>
    </row>
    <row r="213" spans="2:19" x14ac:dyDescent="0.25">
      <c r="B213" s="770"/>
      <c r="C213" s="647"/>
      <c r="D213" s="647"/>
      <c r="E213" s="647"/>
      <c r="F213" s="647"/>
      <c r="G213" s="647"/>
      <c r="H213" s="647"/>
      <c r="I213" s="647"/>
      <c r="J213" s="647"/>
      <c r="K213" s="647"/>
      <c r="L213" s="771"/>
      <c r="M213" s="10"/>
    </row>
    <row r="214" spans="2:19" x14ac:dyDescent="0.25">
      <c r="B214" s="747" t="str">
        <f>D$31</f>
        <v>tonnes</v>
      </c>
      <c r="C214" s="748"/>
      <c r="D214" s="748"/>
      <c r="E214" s="137"/>
      <c r="F214" s="137"/>
      <c r="G214" s="137"/>
      <c r="H214" s="137"/>
      <c r="I214" s="137"/>
      <c r="J214" s="137"/>
      <c r="K214" s="137"/>
      <c r="L214" s="138"/>
      <c r="M214" s="10"/>
    </row>
    <row r="215" spans="2:19" x14ac:dyDescent="0.25">
      <c r="B215" s="747" t="str">
        <f>D$32</f>
        <v>valeur de vente nette rendue (CAD)</v>
      </c>
      <c r="C215" s="748"/>
      <c r="D215" s="748"/>
      <c r="E215" s="137"/>
      <c r="F215" s="137"/>
      <c r="G215" s="137"/>
      <c r="H215" s="137"/>
      <c r="I215" s="137"/>
      <c r="J215" s="137"/>
      <c r="K215" s="137"/>
      <c r="L215" s="138"/>
      <c r="M215" s="10"/>
    </row>
    <row r="216" spans="2:19" x14ac:dyDescent="0.25">
      <c r="B216" s="747" t="str">
        <f>D$33</f>
        <v>$ / tonne</v>
      </c>
      <c r="C216" s="748"/>
      <c r="D216" s="748"/>
      <c r="E216" s="151" t="str">
        <f>IF(E214=0,"-",E215/E214)</f>
        <v>-</v>
      </c>
      <c r="F216" s="151" t="str">
        <f t="shared" ref="F216:L216" si="33">IF(F214=0,"-",F215/F214)</f>
        <v>-</v>
      </c>
      <c r="G216" s="151" t="str">
        <f t="shared" si="33"/>
        <v>-</v>
      </c>
      <c r="H216" s="151" t="str">
        <f t="shared" si="33"/>
        <v>-</v>
      </c>
      <c r="I216" s="151" t="str">
        <f t="shared" si="33"/>
        <v>-</v>
      </c>
      <c r="J216" s="151" t="str">
        <f t="shared" si="33"/>
        <v>-</v>
      </c>
      <c r="K216" s="151" t="str">
        <f t="shared" si="33"/>
        <v>-</v>
      </c>
      <c r="L216" s="152" t="str">
        <f t="shared" si="33"/>
        <v>-</v>
      </c>
      <c r="M216" s="10"/>
    </row>
    <row r="217" spans="2:19" x14ac:dyDescent="0.25">
      <c r="B217" s="324"/>
      <c r="C217" s="325"/>
      <c r="D217" s="325"/>
      <c r="E217" s="29"/>
      <c r="F217" s="29"/>
      <c r="G217" s="29"/>
      <c r="H217" s="29"/>
      <c r="I217" s="29"/>
      <c r="J217" s="29"/>
      <c r="K217" s="29"/>
      <c r="L217" s="226"/>
      <c r="M217" s="10"/>
    </row>
    <row r="218" spans="2:19" x14ac:dyDescent="0.25">
      <c r="B218" s="527" t="str">
        <f>IF(Intro!$G$20="English",O218,P218)</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18" s="528"/>
      <c r="D218" s="528"/>
      <c r="E218" s="528"/>
      <c r="F218" s="528"/>
      <c r="G218" s="528"/>
      <c r="H218" s="528"/>
      <c r="I218" s="528"/>
      <c r="J218" s="528"/>
      <c r="K218" s="528"/>
      <c r="L218" s="529"/>
      <c r="M218" s="10"/>
      <c r="O218" s="10" t="s">
        <v>363</v>
      </c>
      <c r="P218" s="10" t="s">
        <v>401</v>
      </c>
      <c r="S218" s="38"/>
    </row>
    <row r="219" spans="2:19" x14ac:dyDescent="0.25">
      <c r="B219" s="527"/>
      <c r="C219" s="528"/>
      <c r="D219" s="528"/>
      <c r="E219" s="528"/>
      <c r="F219" s="528"/>
      <c r="G219" s="528"/>
      <c r="H219" s="528"/>
      <c r="I219" s="528"/>
      <c r="J219" s="528"/>
      <c r="K219" s="528"/>
      <c r="L219" s="529"/>
      <c r="M219" s="10"/>
      <c r="S219" s="38"/>
    </row>
    <row r="220" spans="2:19" x14ac:dyDescent="0.25">
      <c r="B220" s="316"/>
      <c r="C220" s="317"/>
      <c r="D220" s="317"/>
      <c r="E220" s="29"/>
      <c r="F220" s="29"/>
      <c r="G220" s="29"/>
      <c r="H220" s="29"/>
      <c r="I220" s="29"/>
      <c r="J220" s="29"/>
      <c r="K220" s="29"/>
      <c r="L220" s="30"/>
      <c r="M220" s="10"/>
      <c r="S220" s="38"/>
    </row>
    <row r="221" spans="2:19" ht="14.1" customHeight="1" x14ac:dyDescent="0.25">
      <c r="B221" s="760" t="str">
        <f>Variables!D66</f>
        <v>Vérification - volume</v>
      </c>
      <c r="C221" s="761"/>
      <c r="D221" s="761"/>
      <c r="E221" s="761"/>
      <c r="F221" s="762"/>
      <c r="G221" s="320">
        <f>G150</f>
        <v>2024</v>
      </c>
      <c r="H221" s="320">
        <f>H150</f>
        <v>2025</v>
      </c>
      <c r="I221" s="320" t="str">
        <f>I150</f>
        <v>janv.-mars 2025</v>
      </c>
      <c r="J221" s="320" t="str">
        <f>J150</f>
        <v>janv.-mars 2026</v>
      </c>
      <c r="K221" s="225"/>
      <c r="L221" s="226"/>
      <c r="M221" s="10"/>
      <c r="O221" s="18"/>
    </row>
    <row r="222" spans="2:19" ht="14.1" customHeight="1" x14ac:dyDescent="0.25">
      <c r="B222" s="757" t="str">
        <f>B169</f>
        <v>tonnes</v>
      </c>
      <c r="C222" s="758"/>
      <c r="D222" s="758"/>
      <c r="E222" s="758"/>
      <c r="F222" s="759"/>
      <c r="G222" s="187" t="str">
        <f>IF(SUM(E169:G169,E174:G174,E179:G179,E184:G184,E189:G189,E194:G194,E199:G199,E204:G204,E209:G209,E214:G214)&gt;H44,Variables!$D$67,Variables!$D$68)</f>
        <v>Correct</v>
      </c>
      <c r="H222" s="187" t="str">
        <f>IF(SUM(H169:K169,H174:K174,H179:K179,H184:K184,H189:K189,H194:K194,H199:K199,H204:K204,H209:K209,H214:K214)&gt;I44,Variables!$D$67,Variables!$D$68)</f>
        <v>Correct</v>
      </c>
      <c r="I222" s="187" t="str">
        <f>IF(SUM(H169,H174,H179,H184,H189,H194,H199,H204,H209,H214)&gt;J44,Variables!$D$67,Variables!$D$68)</f>
        <v>Correct</v>
      </c>
      <c r="J222" s="187" t="str">
        <f>IF(SUM(L169,L174,L179,L184,L189,L194,L199,L204,L209,L214)&gt;K44,Variables!$D$67,Variables!$D$68)</f>
        <v>Correct</v>
      </c>
      <c r="K222" s="225"/>
      <c r="L222" s="226"/>
      <c r="M222" s="10"/>
    </row>
    <row r="223" spans="2:19" ht="27.75" customHeight="1" x14ac:dyDescent="0.25">
      <c r="B223" s="763" t="str">
        <f>IF(Intro!$G$20="English",O223,P223)</f>
        <v>volume - total des ventes au Canada d'importations des produits de référence (Question 4)</v>
      </c>
      <c r="C223" s="764"/>
      <c r="D223" s="764"/>
      <c r="E223" s="764"/>
      <c r="F223" s="765"/>
      <c r="G223" s="191">
        <f>(SUM(E169:G169,E174:G174,E179:G179,E184:G184,E189:G189,E194:G194,E199:G199,E204:G204,E209:G209,E214:G214))</f>
        <v>0</v>
      </c>
      <c r="H223" s="191">
        <f>SUM(H169:K169,H174:K174,H179:K179,H184:K184,H189:K189,H194:K194,H199:K199,H204:K204,H209:K209,H214:K214)</f>
        <v>0</v>
      </c>
      <c r="I223" s="191">
        <f>SUM(H169,H174,H179,H184,H189,H194,H199,H204,H209,H214)</f>
        <v>0</v>
      </c>
      <c r="J223" s="191">
        <f>SUM(L169,L174,L179,L184,L189,L194,L199,L204,L209,L214)</f>
        <v>0</v>
      </c>
      <c r="K223" s="225"/>
      <c r="L223" s="226"/>
      <c r="M223" s="10"/>
      <c r="O223" s="10" t="s">
        <v>447</v>
      </c>
      <c r="P223" s="10" t="s">
        <v>449</v>
      </c>
    </row>
    <row r="224" spans="2:19" ht="14.1" customHeight="1" x14ac:dyDescent="0.25">
      <c r="B224" s="763" t="str">
        <f>IF(Intro!$G$20="English",O224,P224)</f>
        <v>volume - total des ventes au Canada d'importations (Question 1)</v>
      </c>
      <c r="C224" s="764"/>
      <c r="D224" s="764"/>
      <c r="E224" s="764"/>
      <c r="F224" s="765"/>
      <c r="G224" s="187">
        <f>H44</f>
        <v>0</v>
      </c>
      <c r="H224" s="187">
        <f>I44</f>
        <v>0</v>
      </c>
      <c r="I224" s="187">
        <f>J44</f>
        <v>0</v>
      </c>
      <c r="J224" s="187">
        <f>K44</f>
        <v>0</v>
      </c>
      <c r="K224" s="225"/>
      <c r="L224" s="226"/>
      <c r="M224" s="10"/>
      <c r="O224" s="10" t="s">
        <v>440</v>
      </c>
      <c r="P224" s="10" t="s">
        <v>442</v>
      </c>
    </row>
    <row r="225" spans="1:16" x14ac:dyDescent="0.25">
      <c r="B225" s="760" t="str">
        <f>Variables!D70</f>
        <v>Vérification - valeur</v>
      </c>
      <c r="C225" s="761"/>
      <c r="D225" s="761"/>
      <c r="E225" s="761"/>
      <c r="F225" s="762"/>
      <c r="G225" s="320">
        <f>G221</f>
        <v>2024</v>
      </c>
      <c r="H225" s="320">
        <f t="shared" ref="H225:J225" si="34">H221</f>
        <v>2025</v>
      </c>
      <c r="I225" s="320" t="str">
        <f t="shared" si="34"/>
        <v>janv.-mars 2025</v>
      </c>
      <c r="J225" s="320" t="str">
        <f t="shared" si="34"/>
        <v>janv.-mars 2026</v>
      </c>
      <c r="K225" s="225"/>
      <c r="L225" s="226"/>
      <c r="M225" s="10"/>
    </row>
    <row r="226" spans="1:16" ht="14.1" customHeight="1" x14ac:dyDescent="0.25">
      <c r="B226" s="757" t="str">
        <f>B170</f>
        <v>valeur de vente nette rendue (CAD)</v>
      </c>
      <c r="C226" s="758"/>
      <c r="D226" s="758"/>
      <c r="E226" s="758"/>
      <c r="F226" s="759"/>
      <c r="G226" s="187" t="str">
        <f>IF(SUM(E170:G170,E175:G175,E180:G180,E185:G185,E190:G190,E195:G195,E200:G200,E205:G205,E210:G210,E215:G215)&gt;H45,Variables!$D$67,Variables!$D$68)</f>
        <v>Correct</v>
      </c>
      <c r="H226" s="187" t="str">
        <f>IF(SUM(H170:K170,H175:K175,H180:K180,H185:K185,H190:K190,H195:K195,H200:K200,H205:K205,H210:K210,H215:K215)&gt;I45,Variables!$D$67,Variables!$D$68)</f>
        <v>Correct</v>
      </c>
      <c r="I226" s="187" t="str">
        <f>IF(SUM(H170,H175,H180,H185,H190,H195,H200,H205,H210,H215)&gt;J45,Variables!$D$67,Variables!$D$68)</f>
        <v>Correct</v>
      </c>
      <c r="J226" s="187" t="str">
        <f>IF(SUM(L170,L175,L180,L185,L190,L195,L200,L205,L210,L215)&gt;K45,Variables!$D$67,Variables!$D$68)</f>
        <v>Correct</v>
      </c>
      <c r="K226" s="225"/>
      <c r="L226" s="226"/>
      <c r="M226" s="10"/>
    </row>
    <row r="227" spans="1:16" ht="31.5" customHeight="1" x14ac:dyDescent="0.25">
      <c r="B227" s="763" t="str">
        <f>IF(Intro!$G$20="English",O227,P227)</f>
        <v>valeur - total des ventes au Canada d'importations des produits de référence (Question 4)</v>
      </c>
      <c r="C227" s="764"/>
      <c r="D227" s="764"/>
      <c r="E227" s="764"/>
      <c r="F227" s="765"/>
      <c r="G227" s="191">
        <f>SUM(E170:G170,E175:G175,E180:G180,E185:G185,E190:G190,E195:G195,E200:G200,E205:G205,E210:G210,E215:G215)</f>
        <v>0</v>
      </c>
      <c r="H227" s="191">
        <f>SUM(H170:K170,H175:K175,H180:K180,H185:K185,H190:K190,H195:K195,H200:K200,H205:K205,H210:K210,H215:K215)</f>
        <v>0</v>
      </c>
      <c r="I227" s="191">
        <f>SUM(H170,H175,H180,H185,H190,H195,H200,H205,H210,H215)</f>
        <v>0</v>
      </c>
      <c r="J227" s="191">
        <f>SUM(L170,L175,L180,L185,L190,L195,L200,L205,L210,L215)</f>
        <v>0</v>
      </c>
      <c r="K227" s="225"/>
      <c r="L227" s="226"/>
      <c r="M227" s="10"/>
      <c r="O227" s="10" t="s">
        <v>448</v>
      </c>
      <c r="P227" s="10" t="s">
        <v>450</v>
      </c>
    </row>
    <row r="228" spans="1:16" ht="14.1" customHeight="1" x14ac:dyDescent="0.25">
      <c r="B228" s="763" t="str">
        <f>IF(Intro!$G$20="English",O228,P228)</f>
        <v>valeur - total des ventes au Canada d'importations (Question 1)</v>
      </c>
      <c r="C228" s="764"/>
      <c r="D228" s="764"/>
      <c r="E228" s="764"/>
      <c r="F228" s="765"/>
      <c r="G228" s="187">
        <f>H45</f>
        <v>0</v>
      </c>
      <c r="H228" s="187">
        <f>I45</f>
        <v>0</v>
      </c>
      <c r="I228" s="187">
        <f>J45</f>
        <v>0</v>
      </c>
      <c r="J228" s="187">
        <f>K45</f>
        <v>0</v>
      </c>
      <c r="K228" s="225"/>
      <c r="L228" s="226"/>
      <c r="M228" s="10"/>
      <c r="O228" s="10" t="s">
        <v>446</v>
      </c>
      <c r="P228" s="10" t="s">
        <v>444</v>
      </c>
    </row>
    <row r="229" spans="1:16" x14ac:dyDescent="0.25">
      <c r="B229" s="72"/>
      <c r="C229" s="82"/>
      <c r="D229" s="82"/>
      <c r="E229" s="82"/>
      <c r="F229" s="82"/>
      <c r="G229" s="82"/>
      <c r="H229" s="82"/>
      <c r="I229" s="82"/>
      <c r="J229" s="82"/>
      <c r="K229" s="82"/>
      <c r="L229" s="83"/>
      <c r="M229" s="10"/>
    </row>
    <row r="230" spans="1:16" s="44" customFormat="1" x14ac:dyDescent="0.25">
      <c r="A230" s="92"/>
      <c r="B230" s="4"/>
      <c r="C230" s="4"/>
      <c r="D230" s="77"/>
      <c r="E230" s="77"/>
      <c r="F230" s="77"/>
      <c r="G230" s="77"/>
      <c r="H230" s="77"/>
      <c r="I230" s="77"/>
      <c r="J230" s="77"/>
      <c r="K230" s="77"/>
      <c r="L230" s="77"/>
      <c r="N230" s="78"/>
    </row>
    <row r="231" spans="1:16" x14ac:dyDescent="0.25">
      <c r="B231" s="533" t="str">
        <f>IF(Intro!$G$20="English",O231,P231)</f>
        <v>DONNÉES SUR LES IMPORTATIONS POUR LA PÉRIODE D'ENQUÊTE ANTIDUMPING DE L'ASFC</v>
      </c>
      <c r="C231" s="534"/>
      <c r="D231" s="534"/>
      <c r="E231" s="534"/>
      <c r="F231" s="534"/>
      <c r="G231" s="534"/>
      <c r="H231" s="534"/>
      <c r="I231" s="534"/>
      <c r="J231" s="534"/>
      <c r="K231" s="534"/>
      <c r="L231" s="535"/>
      <c r="M231" s="10"/>
      <c r="O231" s="105" t="s">
        <v>337</v>
      </c>
      <c r="P231" s="105" t="s">
        <v>338</v>
      </c>
    </row>
    <row r="232" spans="1:16" s="207" customFormat="1" x14ac:dyDescent="0.25">
      <c r="A232" s="7"/>
      <c r="B232" s="671" t="s">
        <v>18</v>
      </c>
      <c r="C232" s="672"/>
      <c r="D232" s="672"/>
      <c r="E232" s="672"/>
      <c r="F232" s="672"/>
      <c r="G232" s="672"/>
      <c r="H232" s="672"/>
      <c r="I232" s="672"/>
      <c r="J232" s="672"/>
      <c r="K232" s="672"/>
      <c r="L232" s="673"/>
      <c r="M232" s="73"/>
      <c r="O232" s="10"/>
    </row>
    <row r="233" spans="1:16" x14ac:dyDescent="0.25">
      <c r="B233" s="16"/>
      <c r="C233" s="35"/>
      <c r="D233" s="35"/>
      <c r="E233" s="36"/>
      <c r="F233" s="36"/>
      <c r="G233" s="36"/>
      <c r="H233" s="36"/>
      <c r="I233" s="36"/>
      <c r="J233" s="36"/>
      <c r="K233" s="36"/>
      <c r="L233" s="17"/>
      <c r="M233" s="10"/>
    </row>
    <row r="234" spans="1:16" x14ac:dyDescent="0.25">
      <c r="B234" s="530" t="str">
        <f>IF(Intro!$G$20="English",O234,P234)</f>
        <v>Indiquez le volume et la valeur des importations pendant la période d'enquête de dumping de l'ASFC :</v>
      </c>
      <c r="C234" s="531"/>
      <c r="D234" s="531"/>
      <c r="E234" s="531"/>
      <c r="F234" s="531"/>
      <c r="G234" s="531"/>
      <c r="H234" s="531"/>
      <c r="I234" s="531"/>
      <c r="J234" s="531"/>
      <c r="K234" s="531"/>
      <c r="L234" s="532"/>
      <c r="M234" s="10"/>
      <c r="O234" s="18" t="s">
        <v>199</v>
      </c>
      <c r="P234" s="10" t="s">
        <v>200</v>
      </c>
    </row>
    <row r="235" spans="1:16" x14ac:dyDescent="0.25">
      <c r="B235" s="316"/>
      <c r="C235" s="317"/>
      <c r="D235" s="35"/>
      <c r="E235" s="36"/>
      <c r="F235" s="36"/>
      <c r="G235" s="36"/>
      <c r="H235" s="36"/>
      <c r="I235" s="36"/>
      <c r="J235" s="36"/>
      <c r="K235" s="36"/>
      <c r="L235" s="17"/>
      <c r="M235" s="10"/>
      <c r="O235" s="18"/>
    </row>
    <row r="236" spans="1:16" ht="31.5" customHeight="1" x14ac:dyDescent="0.25">
      <c r="B236" s="48"/>
      <c r="C236" s="45"/>
      <c r="D236" s="35"/>
      <c r="E236" s="10"/>
      <c r="F236" s="775" t="str">
        <f>IF(Intro!$G$20="English",Variables!B41,Variables!C41)</f>
        <v>1er décembre 2024 - 30 novembre 2025</v>
      </c>
      <c r="G236" s="776"/>
      <c r="H236" s="225"/>
      <c r="I236" s="225"/>
      <c r="J236" s="225"/>
      <c r="K236" s="225"/>
      <c r="L236" s="71"/>
      <c r="M236" s="10"/>
      <c r="O236" s="47"/>
      <c r="P236" s="47"/>
    </row>
    <row r="237" spans="1:16" x14ac:dyDescent="0.25">
      <c r="B237" s="567" t="str">
        <f>IF(Intro!$G$20="English",O237,P237)</f>
        <v>Importations</v>
      </c>
      <c r="C237" s="748" t="str">
        <f>D26</f>
        <v>tonnes</v>
      </c>
      <c r="D237" s="748"/>
      <c r="E237" s="748"/>
      <c r="F237" s="777"/>
      <c r="G237" s="778"/>
      <c r="H237" s="225"/>
      <c r="I237" s="225"/>
      <c r="J237" s="225"/>
      <c r="K237" s="225"/>
      <c r="L237" s="71"/>
      <c r="M237" s="10"/>
      <c r="O237" s="10" t="s">
        <v>91</v>
      </c>
      <c r="P237" s="10" t="s">
        <v>170</v>
      </c>
    </row>
    <row r="238" spans="1:16" x14ac:dyDescent="0.25">
      <c r="B238" s="567"/>
      <c r="C238" s="748" t="str">
        <f>D27</f>
        <v>valeur d'achat nette rendue (CAD)</v>
      </c>
      <c r="D238" s="748"/>
      <c r="E238" s="748"/>
      <c r="F238" s="777"/>
      <c r="G238" s="778"/>
      <c r="H238" s="225"/>
      <c r="I238" s="225"/>
      <c r="J238" s="225"/>
      <c r="K238" s="225"/>
      <c r="L238" s="71"/>
      <c r="M238" s="10"/>
    </row>
    <row r="239" spans="1:16" x14ac:dyDescent="0.25">
      <c r="B239" s="567"/>
      <c r="C239" s="748" t="str">
        <f>D28</f>
        <v>$ / tonne</v>
      </c>
      <c r="D239" s="748"/>
      <c r="E239" s="748"/>
      <c r="F239" s="779" t="str">
        <f>IF(F237=0,"-",F238/F237)</f>
        <v>-</v>
      </c>
      <c r="G239" s="780"/>
      <c r="H239" s="88"/>
      <c r="I239" s="88"/>
      <c r="J239" s="88"/>
      <c r="K239" s="88"/>
      <c r="L239" s="71"/>
      <c r="M239" s="10"/>
    </row>
    <row r="240" spans="1:16" x14ac:dyDescent="0.25">
      <c r="B240" s="46"/>
      <c r="C240" s="115"/>
      <c r="D240" s="115"/>
      <c r="E240" s="34"/>
      <c r="F240" s="34"/>
      <c r="G240" s="34"/>
      <c r="H240" s="34"/>
      <c r="I240" s="34"/>
      <c r="J240" s="34"/>
      <c r="K240" s="34"/>
      <c r="L240" s="37"/>
      <c r="M240" s="10"/>
    </row>
    <row r="241" spans="1:19" s="44" customFormat="1" x14ac:dyDescent="0.25">
      <c r="A241" s="92"/>
      <c r="B241" s="4"/>
      <c r="C241" s="4"/>
      <c r="D241" s="77"/>
      <c r="E241" s="77"/>
      <c r="F241" s="77"/>
      <c r="G241" s="77"/>
      <c r="H241" s="77"/>
      <c r="I241" s="77"/>
      <c r="J241" s="77"/>
      <c r="K241" s="77"/>
      <c r="L241" s="77"/>
      <c r="N241" s="78"/>
    </row>
    <row r="242" spans="1:19" x14ac:dyDescent="0.25">
      <c r="B242" s="533" t="str">
        <f>UPPER(IF(Intro!$G$20="English",O242,P242))</f>
        <v>DONNÉES SUR LES IMPORTATIONS POUR L'ANALYSE DES IMPORTATIONS MASSIVES</v>
      </c>
      <c r="C242" s="534"/>
      <c r="D242" s="534"/>
      <c r="E242" s="534"/>
      <c r="F242" s="534"/>
      <c r="G242" s="534"/>
      <c r="H242" s="534"/>
      <c r="I242" s="534"/>
      <c r="J242" s="534"/>
      <c r="K242" s="534"/>
      <c r="L242" s="535"/>
      <c r="M242" s="10"/>
      <c r="O242" s="105" t="s">
        <v>339</v>
      </c>
      <c r="P242" s="105" t="s">
        <v>402</v>
      </c>
    </row>
    <row r="243" spans="1:19" s="207" customFormat="1" x14ac:dyDescent="0.25">
      <c r="A243" s="7"/>
      <c r="B243" s="671" t="s">
        <v>19</v>
      </c>
      <c r="C243" s="672"/>
      <c r="D243" s="672"/>
      <c r="E243" s="672"/>
      <c r="F243" s="672"/>
      <c r="G243" s="672"/>
      <c r="H243" s="672"/>
      <c r="I243" s="672"/>
      <c r="J243" s="672"/>
      <c r="K243" s="672"/>
      <c r="L243" s="673"/>
      <c r="M243" s="73"/>
      <c r="O243" s="10"/>
    </row>
    <row r="244" spans="1:19" x14ac:dyDescent="0.25">
      <c r="B244" s="16"/>
      <c r="C244" s="35"/>
      <c r="D244" s="35"/>
      <c r="E244" s="36"/>
      <c r="F244" s="36"/>
      <c r="G244" s="36"/>
      <c r="H244" s="36"/>
      <c r="I244" s="36"/>
      <c r="J244" s="36"/>
      <c r="K244" s="36"/>
      <c r="L244" s="17"/>
      <c r="M244" s="10"/>
    </row>
    <row r="245" spans="1:19" x14ac:dyDescent="0.25">
      <c r="B245" s="530" t="str">
        <f>IF(Intro!$G$20="English",O245,P245)</f>
        <v>Indiquez le volume des importations et le stock de clôture au Canada des marchandises provenant de l'exportateur décrit ci-dessus :</v>
      </c>
      <c r="C245" s="531"/>
      <c r="D245" s="531"/>
      <c r="E245" s="531"/>
      <c r="F245" s="531"/>
      <c r="G245" s="531"/>
      <c r="H245" s="531"/>
      <c r="I245" s="531"/>
      <c r="J245" s="531"/>
      <c r="K245" s="531"/>
      <c r="L245" s="532"/>
      <c r="M245" s="10"/>
      <c r="O245" s="18" t="s">
        <v>194</v>
      </c>
      <c r="P245" s="10" t="s">
        <v>404</v>
      </c>
    </row>
    <row r="246" spans="1:19" x14ac:dyDescent="0.25">
      <c r="B246" s="316"/>
      <c r="C246" s="317"/>
      <c r="D246" s="35"/>
      <c r="E246" s="36"/>
      <c r="F246" s="36"/>
      <c r="G246" s="36"/>
      <c r="H246" s="36"/>
      <c r="I246" s="36"/>
      <c r="J246" s="36"/>
      <c r="K246" s="36"/>
      <c r="L246" s="17"/>
      <c r="M246" s="10"/>
      <c r="O246" s="18"/>
    </row>
    <row r="247" spans="1:19" x14ac:dyDescent="0.25">
      <c r="B247" s="316"/>
      <c r="C247" s="317"/>
      <c r="D247" s="35"/>
      <c r="E247" s="323" t="str">
        <f>IF(Intro!$G$20="English",Variables!B83,Variables!C83)</f>
        <v>T2 2024</v>
      </c>
      <c r="F247" s="323" t="str">
        <f>IF(Intro!$G$20="English",Variables!B84,Variables!C84)</f>
        <v>T3 2024</v>
      </c>
      <c r="G247" s="323" t="str">
        <f>IF(Intro!$G$20="English",Variables!B74,Variables!C74)</f>
        <v>T4 2024</v>
      </c>
      <c r="H247" s="323" t="str">
        <f>IF(Intro!$G$20="English",Variables!B75,Variables!C75)</f>
        <v>T1 2025</v>
      </c>
      <c r="I247" s="323" t="str">
        <f>IF(Intro!$G$20="English",Variables!B76,Variables!C76)</f>
        <v>T2 2025</v>
      </c>
      <c r="J247" s="323" t="str">
        <f>IF(Intro!$G$20="English",Variables!B77,Variables!C77)</f>
        <v>T3 2025</v>
      </c>
      <c r="K247" s="323" t="str">
        <f>IF(Intro!$G$20="English",Variables!B78,Variables!C78)</f>
        <v>T4 2025</v>
      </c>
      <c r="L247" s="323" t="str">
        <f>IF(Intro!$G$20="English",Variables!B79,Variables!C79)</f>
        <v>T1 2026</v>
      </c>
      <c r="M247" s="10"/>
      <c r="O247" s="18"/>
    </row>
    <row r="248" spans="1:19" x14ac:dyDescent="0.25">
      <c r="B248" s="745" t="str">
        <f>B237</f>
        <v>Importations</v>
      </c>
      <c r="C248" s="746"/>
      <c r="D248" s="326" t="str">
        <f>C237</f>
        <v>tonnes</v>
      </c>
      <c r="E248" s="181"/>
      <c r="F248" s="181"/>
      <c r="G248" s="181"/>
      <c r="H248" s="181"/>
      <c r="I248" s="181"/>
      <c r="J248" s="181"/>
      <c r="K248" s="181"/>
      <c r="L248" s="181"/>
      <c r="M248" s="10"/>
    </row>
    <row r="249" spans="1:19" x14ac:dyDescent="0.25">
      <c r="B249" s="745" t="str">
        <f>IF(Intro!$G$20="English",O249,P249)</f>
        <v>Stock de clôture</v>
      </c>
      <c r="C249" s="746"/>
      <c r="D249" s="326" t="str">
        <f>C237</f>
        <v>tonnes</v>
      </c>
      <c r="E249" s="181"/>
      <c r="F249" s="181"/>
      <c r="G249" s="181"/>
      <c r="H249" s="181"/>
      <c r="I249" s="181"/>
      <c r="J249" s="181"/>
      <c r="K249" s="181"/>
      <c r="L249" s="181"/>
      <c r="M249" s="10"/>
      <c r="O249" s="10" t="s">
        <v>195</v>
      </c>
      <c r="P249" s="10" t="s">
        <v>403</v>
      </c>
    </row>
    <row r="250" spans="1:19" x14ac:dyDescent="0.25">
      <c r="B250" s="316"/>
      <c r="C250" s="317"/>
      <c r="D250" s="317"/>
      <c r="E250" s="29"/>
      <c r="F250" s="29"/>
      <c r="G250" s="29"/>
      <c r="H250" s="29"/>
      <c r="I250" s="29"/>
      <c r="J250" s="29"/>
      <c r="K250" s="29"/>
      <c r="L250" s="30"/>
      <c r="M250" s="10"/>
    </row>
    <row r="251" spans="1:19" x14ac:dyDescent="0.25">
      <c r="B251" s="527" t="str">
        <f>IF(Intro!$G$20="English",O251,P251)</f>
        <v>Dans le tableau ci-dessous, « Erreur » signifie que la somme des importations trimestrielles déclarées ci-dessus dépasse les importations annuelles déclarées à la question 1. Par conséquent, veuillez modifier les données si nécessaire.</v>
      </c>
      <c r="C251" s="528"/>
      <c r="D251" s="528"/>
      <c r="E251" s="528"/>
      <c r="F251" s="528"/>
      <c r="G251" s="528"/>
      <c r="H251" s="528"/>
      <c r="I251" s="528"/>
      <c r="J251" s="528"/>
      <c r="K251" s="528"/>
      <c r="L251" s="529"/>
      <c r="M251" s="10"/>
      <c r="O251" s="10" t="s">
        <v>457</v>
      </c>
      <c r="P251" s="10" t="s">
        <v>458</v>
      </c>
      <c r="S251" s="38"/>
    </row>
    <row r="252" spans="1:19" x14ac:dyDescent="0.25">
      <c r="B252" s="527"/>
      <c r="C252" s="528"/>
      <c r="D252" s="528"/>
      <c r="E252" s="528"/>
      <c r="F252" s="528"/>
      <c r="G252" s="528"/>
      <c r="H252" s="528"/>
      <c r="I252" s="528"/>
      <c r="J252" s="528"/>
      <c r="K252" s="528"/>
      <c r="L252" s="529"/>
      <c r="M252" s="10"/>
      <c r="S252" s="38"/>
    </row>
    <row r="253" spans="1:19" x14ac:dyDescent="0.25">
      <c r="B253" s="313"/>
      <c r="C253" s="314"/>
      <c r="D253" s="314"/>
      <c r="E253" s="314"/>
      <c r="F253" s="314"/>
      <c r="G253" s="314"/>
      <c r="H253" s="314"/>
      <c r="I253" s="314"/>
      <c r="J253" s="314"/>
      <c r="K253" s="314"/>
      <c r="L253" s="315"/>
      <c r="M253" s="10"/>
      <c r="S253" s="38"/>
    </row>
    <row r="254" spans="1:19" x14ac:dyDescent="0.25">
      <c r="B254" s="192"/>
      <c r="C254" s="179"/>
      <c r="D254" s="194"/>
      <c r="E254" s="45"/>
      <c r="F254" s="320">
        <f>G254-1</f>
        <v>2025</v>
      </c>
      <c r="G254" s="320">
        <f>Variables!B8</f>
        <v>2026</v>
      </c>
      <c r="H254" s="193"/>
      <c r="I254" s="225"/>
      <c r="J254" s="225"/>
      <c r="K254" s="225"/>
      <c r="L254" s="160"/>
      <c r="M254" s="10"/>
      <c r="O254" s="18"/>
    </row>
    <row r="255" spans="1:19" ht="14.45" customHeight="1" x14ac:dyDescent="0.25">
      <c r="B255" s="192"/>
      <c r="C255" s="199"/>
      <c r="D255" s="781" t="str">
        <f>B221</f>
        <v>Vérification - volume</v>
      </c>
      <c r="E255" s="782"/>
      <c r="F255" s="187" t="str">
        <f>IF(SUM(H248+I248+J248+K248)&gt;I26,Variables!$D$67,Variables!$D$68)</f>
        <v>Correct</v>
      </c>
      <c r="G255" s="187" t="str">
        <f>IF(SUM(L248)&gt;K26,Variables!$D$67,Variables!$D$68)</f>
        <v>Correct</v>
      </c>
      <c r="H255" s="193"/>
      <c r="I255" s="225"/>
      <c r="J255" s="225"/>
      <c r="K255" s="225"/>
      <c r="L255" s="160"/>
      <c r="M255" s="10"/>
    </row>
    <row r="256" spans="1:19" s="44" customFormat="1" x14ac:dyDescent="0.25">
      <c r="A256" s="92"/>
      <c r="B256" s="195"/>
      <c r="C256" s="196"/>
      <c r="D256" s="197"/>
      <c r="E256" s="197"/>
      <c r="F256" s="197"/>
      <c r="G256" s="197"/>
      <c r="H256" s="197"/>
      <c r="I256" s="197"/>
      <c r="J256" s="197"/>
      <c r="K256" s="197"/>
      <c r="L256" s="198"/>
      <c r="N256" s="78"/>
    </row>
    <row r="257" spans="1:18" s="207" customFormat="1" x14ac:dyDescent="0.25">
      <c r="A257" s="7"/>
      <c r="B257" s="21" t="s">
        <v>20</v>
      </c>
      <c r="C257" s="22"/>
      <c r="D257" s="22"/>
      <c r="E257" s="23"/>
      <c r="F257" s="23"/>
      <c r="G257" s="23"/>
      <c r="H257" s="23"/>
      <c r="I257" s="23"/>
      <c r="J257" s="23"/>
      <c r="K257" s="23"/>
      <c r="L257" s="24"/>
      <c r="M257" s="73"/>
    </row>
    <row r="258" spans="1:18" s="38" customFormat="1" x14ac:dyDescent="0.25">
      <c r="A258" s="49"/>
      <c r="B258" s="53"/>
      <c r="C258" s="93"/>
      <c r="D258" s="93"/>
      <c r="E258" s="93"/>
      <c r="F258" s="93"/>
      <c r="G258" s="93"/>
      <c r="H258" s="93"/>
      <c r="I258" s="93"/>
      <c r="J258" s="93"/>
      <c r="K258" s="93"/>
      <c r="L258" s="54"/>
      <c r="O258" s="10"/>
      <c r="P258" s="10"/>
      <c r="Q258" s="10"/>
      <c r="R258" s="10"/>
    </row>
    <row r="259" spans="1:18" s="38" customFormat="1" x14ac:dyDescent="0.25">
      <c r="A259" s="49"/>
      <c r="B259" s="527" t="str">
        <f>IF(Intro!$G$20="English",O259,P259)</f>
        <v>Décrivez tous les facteurs (par exemple, les retards d’expédition, la saisonnalité, etc.) qui pourraient expliquer la tendance générale des volumes d’importation trimestriels et des stocks finals de votre entreprise, comme indiqué dans la question 6.</v>
      </c>
      <c r="C259" s="528"/>
      <c r="D259" s="528"/>
      <c r="E259" s="528"/>
      <c r="F259" s="528"/>
      <c r="G259" s="528"/>
      <c r="H259" s="528"/>
      <c r="I259" s="528"/>
      <c r="J259" s="528"/>
      <c r="K259" s="528"/>
      <c r="L259" s="529"/>
      <c r="O259" s="10" t="s">
        <v>375</v>
      </c>
      <c r="P259" s="10" t="s">
        <v>376</v>
      </c>
      <c r="Q259" s="10"/>
      <c r="R259" s="10"/>
    </row>
    <row r="260" spans="1:18" s="38" customFormat="1" x14ac:dyDescent="0.25">
      <c r="A260" s="49"/>
      <c r="B260" s="527"/>
      <c r="C260" s="528"/>
      <c r="D260" s="528"/>
      <c r="E260" s="528"/>
      <c r="F260" s="528"/>
      <c r="G260" s="528"/>
      <c r="H260" s="528"/>
      <c r="I260" s="528"/>
      <c r="J260" s="528"/>
      <c r="K260" s="528"/>
      <c r="L260" s="529"/>
      <c r="O260" s="10"/>
      <c r="P260" s="10"/>
      <c r="Q260" s="10"/>
      <c r="R260" s="10"/>
    </row>
    <row r="261" spans="1:18" s="38" customFormat="1" x14ac:dyDescent="0.25">
      <c r="A261" s="49"/>
      <c r="B261" s="53"/>
      <c r="C261" s="93"/>
      <c r="D261" s="93"/>
      <c r="E261" s="93"/>
      <c r="F261" s="93"/>
      <c r="G261" s="93"/>
      <c r="H261" s="93"/>
      <c r="I261" s="93"/>
      <c r="J261" s="93"/>
      <c r="K261" s="93"/>
      <c r="L261" s="54"/>
      <c r="O261" s="10"/>
      <c r="P261" s="10"/>
      <c r="Q261" s="10"/>
      <c r="R261" s="10"/>
    </row>
    <row r="262" spans="1:18" s="207" customFormat="1" x14ac:dyDescent="0.25">
      <c r="A262" s="8"/>
      <c r="B262" s="663"/>
      <c r="C262" s="664"/>
      <c r="D262" s="664"/>
      <c r="E262" s="664"/>
      <c r="F262" s="664"/>
      <c r="G262" s="664"/>
      <c r="H262" s="664"/>
      <c r="I262" s="664"/>
      <c r="J262" s="664"/>
      <c r="K262" s="664"/>
      <c r="L262" s="665"/>
      <c r="M262" s="38"/>
    </row>
    <row r="263" spans="1:18" s="207" customFormat="1" x14ac:dyDescent="0.25">
      <c r="A263" s="8"/>
      <c r="B263" s="663"/>
      <c r="C263" s="664"/>
      <c r="D263" s="664"/>
      <c r="E263" s="664"/>
      <c r="F263" s="664"/>
      <c r="G263" s="664"/>
      <c r="H263" s="664"/>
      <c r="I263" s="664"/>
      <c r="J263" s="664"/>
      <c r="K263" s="664"/>
      <c r="L263" s="665"/>
      <c r="M263" s="38"/>
    </row>
    <row r="264" spans="1:18" s="207" customFormat="1" x14ac:dyDescent="0.25">
      <c r="A264" s="8"/>
      <c r="B264" s="663"/>
      <c r="C264" s="664"/>
      <c r="D264" s="664"/>
      <c r="E264" s="664"/>
      <c r="F264" s="664"/>
      <c r="G264" s="664"/>
      <c r="H264" s="664"/>
      <c r="I264" s="664"/>
      <c r="J264" s="664"/>
      <c r="K264" s="664"/>
      <c r="L264" s="665"/>
      <c r="M264" s="38"/>
    </row>
    <row r="265" spans="1:18" s="207" customFormat="1" x14ac:dyDescent="0.25">
      <c r="A265" s="8"/>
      <c r="B265" s="663"/>
      <c r="C265" s="664"/>
      <c r="D265" s="664"/>
      <c r="E265" s="664"/>
      <c r="F265" s="664"/>
      <c r="G265" s="664"/>
      <c r="H265" s="664"/>
      <c r="I265" s="664"/>
      <c r="J265" s="664"/>
      <c r="K265" s="664"/>
      <c r="L265" s="665"/>
      <c r="M265" s="38"/>
    </row>
    <row r="266" spans="1:18" s="207" customFormat="1" x14ac:dyDescent="0.25">
      <c r="A266" s="8"/>
      <c r="B266" s="663"/>
      <c r="C266" s="664"/>
      <c r="D266" s="664"/>
      <c r="E266" s="664"/>
      <c r="F266" s="664"/>
      <c r="G266" s="664"/>
      <c r="H266" s="664"/>
      <c r="I266" s="664"/>
      <c r="J266" s="664"/>
      <c r="K266" s="664"/>
      <c r="L266" s="665"/>
      <c r="M266" s="38"/>
    </row>
    <row r="267" spans="1:18" s="207" customFormat="1" x14ac:dyDescent="0.25">
      <c r="A267" s="8"/>
      <c r="B267" s="663"/>
      <c r="C267" s="664"/>
      <c r="D267" s="664"/>
      <c r="E267" s="664"/>
      <c r="F267" s="664"/>
      <c r="G267" s="664"/>
      <c r="H267" s="664"/>
      <c r="I267" s="664"/>
      <c r="J267" s="664"/>
      <c r="K267" s="664"/>
      <c r="L267" s="665"/>
      <c r="M267" s="38"/>
    </row>
    <row r="268" spans="1:18" s="207" customFormat="1" x14ac:dyDescent="0.25">
      <c r="A268" s="8"/>
      <c r="B268" s="663"/>
      <c r="C268" s="664"/>
      <c r="D268" s="664"/>
      <c r="E268" s="664"/>
      <c r="F268" s="664"/>
      <c r="G268" s="664"/>
      <c r="H268" s="664"/>
      <c r="I268" s="664"/>
      <c r="J268" s="664"/>
      <c r="K268" s="664"/>
      <c r="L268" s="665"/>
      <c r="M268" s="38"/>
    </row>
    <row r="269" spans="1:18" s="207" customFormat="1" x14ac:dyDescent="0.25">
      <c r="A269" s="8"/>
      <c r="B269" s="663"/>
      <c r="C269" s="664"/>
      <c r="D269" s="664"/>
      <c r="E269" s="664"/>
      <c r="F269" s="664"/>
      <c r="G269" s="664"/>
      <c r="H269" s="664"/>
      <c r="I269" s="664"/>
      <c r="J269" s="664"/>
      <c r="K269" s="664"/>
      <c r="L269" s="665"/>
      <c r="M269" s="38"/>
    </row>
    <row r="270" spans="1:18" s="38" customFormat="1" x14ac:dyDescent="0.25">
      <c r="A270" s="49"/>
      <c r="B270" s="50"/>
      <c r="C270" s="51"/>
      <c r="D270" s="51"/>
      <c r="E270" s="51"/>
      <c r="F270" s="51"/>
      <c r="G270" s="51"/>
      <c r="H270" s="51"/>
      <c r="I270" s="51"/>
      <c r="J270" s="51"/>
      <c r="K270" s="51"/>
      <c r="L270" s="52"/>
      <c r="O270" s="10"/>
      <c r="P270" s="10"/>
      <c r="Q270" s="10"/>
      <c r="R270" s="10"/>
    </row>
  </sheetData>
  <sheetProtection algorithmName="SHA-512" hashValue="wR/GC8L33YT7zUwfRLO5HLgtAG5Khz6B6VFoz0AFFYtb4k/zHO+50T7yNYDO0ne9ZEa58c8Jlo1nx6sgaYKU2w==" saltValue="R4q+ONR/prucFE165zJ3NQ==" spinCount="100000" sheet="1" objects="1" scenarios="1" selectLockedCells="1"/>
  <mergeCells count="207">
    <mergeCell ref="B249:C249"/>
    <mergeCell ref="B251:L252"/>
    <mergeCell ref="D255:E255"/>
    <mergeCell ref="B259:L260"/>
    <mergeCell ref="B262:L269"/>
    <mergeCell ref="C239:E239"/>
    <mergeCell ref="F239:G239"/>
    <mergeCell ref="B242:L242"/>
    <mergeCell ref="B243:L243"/>
    <mergeCell ref="B245:L245"/>
    <mergeCell ref="B248:C248"/>
    <mergeCell ref="B228:F228"/>
    <mergeCell ref="B231:L231"/>
    <mergeCell ref="B232:L232"/>
    <mergeCell ref="B234:L234"/>
    <mergeCell ref="F236:G236"/>
    <mergeCell ref="B237:B239"/>
    <mergeCell ref="C237:E237"/>
    <mergeCell ref="F237:G237"/>
    <mergeCell ref="C238:E238"/>
    <mergeCell ref="F238:G238"/>
    <mergeCell ref="B222:F222"/>
    <mergeCell ref="B223:F223"/>
    <mergeCell ref="B224:F224"/>
    <mergeCell ref="B225:F225"/>
    <mergeCell ref="B226:F226"/>
    <mergeCell ref="B227:F227"/>
    <mergeCell ref="B212:L213"/>
    <mergeCell ref="B214:D214"/>
    <mergeCell ref="B215:D215"/>
    <mergeCell ref="B216:D216"/>
    <mergeCell ref="B218:L219"/>
    <mergeCell ref="B221:F221"/>
    <mergeCell ref="B205:D205"/>
    <mergeCell ref="B206:D206"/>
    <mergeCell ref="B207:L208"/>
    <mergeCell ref="B209:D209"/>
    <mergeCell ref="B210:D210"/>
    <mergeCell ref="B211:D211"/>
    <mergeCell ref="B197:L198"/>
    <mergeCell ref="B199:D199"/>
    <mergeCell ref="B200:D200"/>
    <mergeCell ref="B201:D201"/>
    <mergeCell ref="B202:L203"/>
    <mergeCell ref="B204:D204"/>
    <mergeCell ref="B190:D190"/>
    <mergeCell ref="B191:D191"/>
    <mergeCell ref="B192:L193"/>
    <mergeCell ref="B194:D194"/>
    <mergeCell ref="B195:D195"/>
    <mergeCell ref="B196:D196"/>
    <mergeCell ref="B182:L183"/>
    <mergeCell ref="B184:D184"/>
    <mergeCell ref="B185:D185"/>
    <mergeCell ref="B186:D186"/>
    <mergeCell ref="B187:L188"/>
    <mergeCell ref="B189:D189"/>
    <mergeCell ref="B175:D175"/>
    <mergeCell ref="B176:D176"/>
    <mergeCell ref="B177:L178"/>
    <mergeCell ref="B179:D179"/>
    <mergeCell ref="B180:D180"/>
    <mergeCell ref="B181:D181"/>
    <mergeCell ref="B167:L168"/>
    <mergeCell ref="B169:D169"/>
    <mergeCell ref="B170:D170"/>
    <mergeCell ref="B171:D171"/>
    <mergeCell ref="B172:L173"/>
    <mergeCell ref="B174:D174"/>
    <mergeCell ref="B157:F157"/>
    <mergeCell ref="B160:L160"/>
    <mergeCell ref="B161:L161"/>
    <mergeCell ref="B163:L163"/>
    <mergeCell ref="B164:L164"/>
    <mergeCell ref="B166:D166"/>
    <mergeCell ref="B151:F151"/>
    <mergeCell ref="B152:F152"/>
    <mergeCell ref="B153:F153"/>
    <mergeCell ref="B154:F154"/>
    <mergeCell ref="B155:F155"/>
    <mergeCell ref="B156:F156"/>
    <mergeCell ref="B141:L142"/>
    <mergeCell ref="B143:D143"/>
    <mergeCell ref="B144:D144"/>
    <mergeCell ref="B145:D145"/>
    <mergeCell ref="B147:L148"/>
    <mergeCell ref="B150:F150"/>
    <mergeCell ref="B134:D134"/>
    <mergeCell ref="B135:D135"/>
    <mergeCell ref="B136:L137"/>
    <mergeCell ref="B138:D138"/>
    <mergeCell ref="B139:D139"/>
    <mergeCell ref="B140:D140"/>
    <mergeCell ref="B126:L127"/>
    <mergeCell ref="B128:D128"/>
    <mergeCell ref="B129:D129"/>
    <mergeCell ref="B130:D130"/>
    <mergeCell ref="B131:L132"/>
    <mergeCell ref="B133:D133"/>
    <mergeCell ref="B119:D119"/>
    <mergeCell ref="B120:D120"/>
    <mergeCell ref="B121:L122"/>
    <mergeCell ref="B123:D123"/>
    <mergeCell ref="B124:D124"/>
    <mergeCell ref="B125:D125"/>
    <mergeCell ref="B111:L112"/>
    <mergeCell ref="B113:D113"/>
    <mergeCell ref="B114:D114"/>
    <mergeCell ref="B115:D115"/>
    <mergeCell ref="B116:L117"/>
    <mergeCell ref="B118:D118"/>
    <mergeCell ref="B104:D104"/>
    <mergeCell ref="B105:D105"/>
    <mergeCell ref="B106:L107"/>
    <mergeCell ref="B108:D108"/>
    <mergeCell ref="B109:D109"/>
    <mergeCell ref="B110:D110"/>
    <mergeCell ref="B96:L97"/>
    <mergeCell ref="B98:D98"/>
    <mergeCell ref="B99:D99"/>
    <mergeCell ref="B100:D100"/>
    <mergeCell ref="B101:L102"/>
    <mergeCell ref="B103:D103"/>
    <mergeCell ref="B86:F86"/>
    <mergeCell ref="B87:F87"/>
    <mergeCell ref="B90:L90"/>
    <mergeCell ref="B91:L91"/>
    <mergeCell ref="B93:L93"/>
    <mergeCell ref="B95:D95"/>
    <mergeCell ref="B80:F80"/>
    <mergeCell ref="B81:F81"/>
    <mergeCell ref="B82:F82"/>
    <mergeCell ref="B83:F83"/>
    <mergeCell ref="B84:F84"/>
    <mergeCell ref="B85:F85"/>
    <mergeCell ref="B71:D71"/>
    <mergeCell ref="B72:L72"/>
    <mergeCell ref="B73:D73"/>
    <mergeCell ref="B74:D74"/>
    <mergeCell ref="B75:D75"/>
    <mergeCell ref="B77:L78"/>
    <mergeCell ref="B65:D65"/>
    <mergeCell ref="B66:D66"/>
    <mergeCell ref="B67:D67"/>
    <mergeCell ref="B68:L68"/>
    <mergeCell ref="B69:D69"/>
    <mergeCell ref="B70:D70"/>
    <mergeCell ref="B59:D59"/>
    <mergeCell ref="B60:L60"/>
    <mergeCell ref="B61:D61"/>
    <mergeCell ref="B62:D62"/>
    <mergeCell ref="B63:D63"/>
    <mergeCell ref="B64:L64"/>
    <mergeCell ref="B52:L52"/>
    <mergeCell ref="B53:L53"/>
    <mergeCell ref="B55:D55"/>
    <mergeCell ref="B56:L56"/>
    <mergeCell ref="B57:D57"/>
    <mergeCell ref="B58:D58"/>
    <mergeCell ref="B44:C46"/>
    <mergeCell ref="D44:F44"/>
    <mergeCell ref="D45:F45"/>
    <mergeCell ref="D46:F46"/>
    <mergeCell ref="B49:L49"/>
    <mergeCell ref="B50:L50"/>
    <mergeCell ref="B37:K37"/>
    <mergeCell ref="B38:C40"/>
    <mergeCell ref="D38:F38"/>
    <mergeCell ref="D39:F39"/>
    <mergeCell ref="D40:F40"/>
    <mergeCell ref="B41:C43"/>
    <mergeCell ref="D41:F41"/>
    <mergeCell ref="D42:F42"/>
    <mergeCell ref="D43:F43"/>
    <mergeCell ref="B30:K30"/>
    <mergeCell ref="B31:C33"/>
    <mergeCell ref="D31:F31"/>
    <mergeCell ref="D32:F32"/>
    <mergeCell ref="D33:F33"/>
    <mergeCell ref="B34:C36"/>
    <mergeCell ref="D34:F34"/>
    <mergeCell ref="D35:F35"/>
    <mergeCell ref="D36:F36"/>
    <mergeCell ref="B25:K25"/>
    <mergeCell ref="B26:C28"/>
    <mergeCell ref="D26:F26"/>
    <mergeCell ref="D27:F27"/>
    <mergeCell ref="D28:F28"/>
    <mergeCell ref="B29:K29"/>
    <mergeCell ref="B18:L18"/>
    <mergeCell ref="B19:L19"/>
    <mergeCell ref="B21:F21"/>
    <mergeCell ref="G21:K21"/>
    <mergeCell ref="B22:F22"/>
    <mergeCell ref="G22:K22"/>
    <mergeCell ref="B11:L11"/>
    <mergeCell ref="B12:L12"/>
    <mergeCell ref="B13:L13"/>
    <mergeCell ref="B14:L14"/>
    <mergeCell ref="B15:L15"/>
    <mergeCell ref="B16:L16"/>
    <mergeCell ref="B4:L4"/>
    <mergeCell ref="B5:L5"/>
    <mergeCell ref="B6:L6"/>
    <mergeCell ref="B8:L8"/>
    <mergeCell ref="B9:L9"/>
    <mergeCell ref="B10:L10"/>
  </mergeCells>
  <conditionalFormatting sqref="F255:G255">
    <cfRule type="cellIs" dxfId="43" priority="5" operator="equal">
      <formula>"Error"</formula>
    </cfRule>
  </conditionalFormatting>
  <conditionalFormatting sqref="G81:J83 G85:J87">
    <cfRule type="cellIs" dxfId="42" priority="4" operator="equal">
      <formula>"Error"</formula>
    </cfRule>
  </conditionalFormatting>
  <conditionalFormatting sqref="G151:J153 G155:J157">
    <cfRule type="cellIs" dxfId="41" priority="3" operator="equal">
      <formula>"Error"</formula>
    </cfRule>
  </conditionalFormatting>
  <conditionalFormatting sqref="G222:J224">
    <cfRule type="cellIs" dxfId="40" priority="1" operator="equal">
      <formula>"Error"</formula>
    </cfRule>
  </conditionalFormatting>
  <conditionalFormatting sqref="G226:J228">
    <cfRule type="cellIs" dxfId="39" priority="2"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AB36E6DA-747D-4CAB-9D93-D22ECF589D48}">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2 B262:B264" xr:uid="{4C198769-04F0-4C6A-BF92-D6CCEC9B5BB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60 F239 E67:L67 E71:L71 E140:L140 E130:L130 G43:K46 E63:L63 E59:L59 E75:L75 E100:L100 E105:L105 E110:L110 E115:L115 E120:L120 E125:L125 F255:G255 E171:L171 E176:L176 E181:L181 E186:L186 E191:L191 E196:L196 G226:J228 G28:K28 G151:J153 G155:J157 G81:J83 G85:J87 G222:J224 G33:K33 G36:K36 G40:K40 E135:L135 E145:L145 E201:L201 E206:L206 E211:L211 E216:L217" xr:uid="{E3DDA9BC-A717-41D2-BC37-19373901B9ED}">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21:L122 E248:L249 F237:G238 E199:L200 E194:L195 E189:L190 E184:L185 E179:L180 E174:L175 E169:L170 E133:L134 E128:L129 E123:L124 E118:L119 E113:L114 E108:L109 E103:L104 E98:L99 E73:L74 E69:L70 E65:L66 E61:L62 E57:L58 G34:K35 G31:K32 G26:K27 G41:K42 G38:K39 E143:L144 E138:L139 E209:L210 E204:L205 E214:L215" xr:uid="{6D9E7FF6-2EA1-49CA-8F50-A124073A8D0F}">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47" min="1" max="11" man="1"/>
    <brk id="88" min="1" max="11" man="1"/>
    <brk id="158" min="1" max="11" man="1"/>
    <brk id="229" min="1" max="1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P31"/>
  <sheetViews>
    <sheetView showGridLines="0" zoomScaleNormal="100" workbookViewId="0">
      <selection activeCell="B136" sqref="B136:L137"/>
    </sheetView>
  </sheetViews>
  <sheetFormatPr defaultRowHeight="15" x14ac:dyDescent="0.25"/>
  <sheetData>
    <row r="31" spans="16:16" x14ac:dyDescent="0.25">
      <c r="P31" t="s">
        <v>520</v>
      </c>
    </row>
  </sheetData>
  <sheetProtection algorithmName="SHA-512" hashValue="xhdwlHS2AAythI2roeT7eQF3UKgy/WR1xTvuSMKvn/9kvVsqm8GZKnflPAXjQYf9fjosGW4z89yTKr7gE16cRg==" saltValue="H6Xu4x9YAUPO7ZWnC3sLUw==" spinCount="100000" sheet="1" objects="1" scenarios="1" selectLockedCell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C826F-4F62-4789-8FB5-ED51E76E789C}">
  <sheetPr>
    <tabColor rgb="FF92D050"/>
    <pageSetUpPr fitToPage="1"/>
  </sheetPr>
  <dimension ref="A1:S270"/>
  <sheetViews>
    <sheetView showGridLines="0" zoomScaleNormal="100" zoomScaleSheetLayoutView="55" workbookViewId="0">
      <selection activeCell="O1" sqref="O1:P1048576"/>
    </sheetView>
  </sheetViews>
  <sheetFormatPr defaultColWidth="9.140625" defaultRowHeight="14.25" x14ac:dyDescent="0.25"/>
  <cols>
    <col min="1" max="1" width="1.85546875" style="7" customWidth="1"/>
    <col min="2" max="12" width="14.5703125" style="1" customWidth="1"/>
    <col min="13" max="13" width="6.140625" style="9" customWidth="1"/>
    <col min="14" max="14" width="9.140625" style="10" customWidth="1"/>
    <col min="15" max="15" width="10.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Pro!B2</f>
        <v>PROTÉGÉ</v>
      </c>
      <c r="C2" s="12"/>
      <c r="D2" s="12"/>
      <c r="O2" s="207" t="s">
        <v>93</v>
      </c>
      <c r="P2" s="207" t="s">
        <v>109</v>
      </c>
    </row>
    <row r="3" spans="1:16" x14ac:dyDescent="0.25">
      <c r="B3" s="13"/>
      <c r="C3" s="13"/>
      <c r="D3" s="13"/>
      <c r="O3" s="2"/>
      <c r="P3" s="2"/>
    </row>
    <row r="4" spans="1:16" s="2" customFormat="1" x14ac:dyDescent="0.25">
      <c r="A4" s="33"/>
      <c r="B4" s="615" t="str">
        <f>Info!B4</f>
        <v>QUESTIONNAIRE À L'INTENTION DES IMPORTATEURS</v>
      </c>
      <c r="C4" s="616"/>
      <c r="D4" s="616"/>
      <c r="E4" s="616"/>
      <c r="F4" s="616"/>
      <c r="G4" s="616"/>
      <c r="H4" s="616"/>
      <c r="I4" s="616"/>
      <c r="J4" s="616"/>
      <c r="K4" s="616"/>
      <c r="L4" s="617"/>
      <c r="M4" s="25"/>
      <c r="N4" s="25"/>
      <c r="O4" s="19"/>
      <c r="P4" s="19"/>
    </row>
    <row r="5" spans="1:16" s="2" customFormat="1" x14ac:dyDescent="0.25">
      <c r="A5" s="33"/>
      <c r="B5" s="651" t="str">
        <f>Info!B5</f>
        <v>NQ-2026-001</v>
      </c>
      <c r="C5" s="652"/>
      <c r="D5" s="652"/>
      <c r="E5" s="652"/>
      <c r="F5" s="652"/>
      <c r="G5" s="652"/>
      <c r="H5" s="652"/>
      <c r="I5" s="652"/>
      <c r="J5" s="652"/>
      <c r="K5" s="652"/>
      <c r="L5" s="653"/>
      <c r="M5" s="25"/>
      <c r="N5" s="25"/>
      <c r="O5" s="19"/>
      <c r="P5" s="19"/>
    </row>
    <row r="6" spans="1:16" s="6" customFormat="1" x14ac:dyDescent="0.25">
      <c r="A6" s="33"/>
      <c r="B6" s="651" t="str">
        <f>Info!B6</f>
        <v>TUBAGES DE PUITS DE GAZ ET DE PÉTROLE</v>
      </c>
      <c r="C6" s="652"/>
      <c r="D6" s="652"/>
      <c r="E6" s="652"/>
      <c r="F6" s="652"/>
      <c r="G6" s="652"/>
      <c r="H6" s="652"/>
      <c r="I6" s="652"/>
      <c r="J6" s="652"/>
      <c r="K6" s="652"/>
      <c r="L6" s="653"/>
      <c r="M6" s="19"/>
      <c r="N6" s="19"/>
      <c r="O6" s="15"/>
      <c r="P6" s="15"/>
    </row>
    <row r="7" spans="1:16" s="6" customFormat="1" x14ac:dyDescent="0.25">
      <c r="A7" s="33"/>
      <c r="B7" s="154"/>
      <c r="C7" s="155"/>
      <c r="D7" s="155"/>
      <c r="E7" s="155"/>
      <c r="F7" s="155"/>
      <c r="G7" s="155"/>
      <c r="H7" s="155"/>
      <c r="I7" s="155"/>
      <c r="J7" s="155"/>
      <c r="K7" s="155"/>
      <c r="L7" s="156"/>
      <c r="M7" s="19"/>
      <c r="N7" s="19"/>
      <c r="O7" s="20"/>
    </row>
    <row r="8" spans="1:16" s="6" customFormat="1" x14ac:dyDescent="0.25">
      <c r="A8" s="33"/>
      <c r="B8" s="657" t="str">
        <f>Public!B8</f>
        <v>Les marchandises dans les questions suivantes font référence aux marchandises comme définies dans la description du produit de l'onglet Intro.</v>
      </c>
      <c r="C8" s="658"/>
      <c r="D8" s="658"/>
      <c r="E8" s="658"/>
      <c r="F8" s="658"/>
      <c r="G8" s="658"/>
      <c r="H8" s="658"/>
      <c r="I8" s="658"/>
      <c r="J8" s="658"/>
      <c r="K8" s="658"/>
      <c r="L8" s="659"/>
      <c r="M8" s="19"/>
      <c r="N8" s="19"/>
      <c r="O8" s="15"/>
      <c r="P8" s="15"/>
    </row>
    <row r="9" spans="1:16" s="6" customFormat="1" x14ac:dyDescent="0.25">
      <c r="A9" s="33"/>
      <c r="B9" s="657" t="str">
        <f>Public!B9</f>
        <v>Des informations sur le produit et un glossaire de termes sont disponibles dans l'onglet Info.</v>
      </c>
      <c r="C9" s="658"/>
      <c r="D9" s="658"/>
      <c r="E9" s="658"/>
      <c r="F9" s="658"/>
      <c r="G9" s="658"/>
      <c r="H9" s="658"/>
      <c r="I9" s="658"/>
      <c r="J9" s="658"/>
      <c r="K9" s="658"/>
      <c r="L9" s="659"/>
      <c r="M9" s="19"/>
      <c r="N9" s="19"/>
      <c r="O9" s="15"/>
    </row>
    <row r="10" spans="1:16" s="6" customFormat="1" x14ac:dyDescent="0.25">
      <c r="A10" s="33"/>
      <c r="B10" s="657" t="str">
        <f>Pro!B12</f>
        <v>Pour les questions de cet onglet, notez ce qui suit :</v>
      </c>
      <c r="C10" s="658"/>
      <c r="D10" s="658"/>
      <c r="E10" s="658"/>
      <c r="F10" s="658"/>
      <c r="G10" s="658"/>
      <c r="H10" s="658"/>
      <c r="I10" s="658"/>
      <c r="J10" s="658"/>
      <c r="K10" s="658"/>
      <c r="L10" s="659"/>
      <c r="M10" s="19"/>
      <c r="N10" s="19"/>
      <c r="O10" s="15"/>
      <c r="P10" s="15"/>
    </row>
    <row r="11" spans="1:16" s="6" customFormat="1" ht="9" customHeight="1" x14ac:dyDescent="0.25">
      <c r="A11" s="33"/>
      <c r="B11" s="262"/>
      <c r="C11" s="263"/>
      <c r="D11" s="263"/>
      <c r="E11" s="263"/>
      <c r="F11" s="263"/>
      <c r="G11" s="263"/>
      <c r="H11" s="263"/>
      <c r="I11" s="263"/>
      <c r="J11" s="263"/>
      <c r="K11" s="263"/>
      <c r="L11" s="264"/>
      <c r="M11" s="19"/>
      <c r="N11" s="19"/>
      <c r="O11" s="15"/>
      <c r="P11" s="15"/>
    </row>
    <row r="12" spans="1:16" s="6" customFormat="1" ht="27" customHeight="1" x14ac:dyDescent="0.25">
      <c r="A12" s="33"/>
      <c r="B12" s="721" t="str">
        <f>Pro!B13</f>
        <v xml:space="preserve">• Veuillez indiquer seulement les ventes effectuées à partir des importations de votre entreprise. Les ventes de marchandises achetées auprès de producteurs canadiens doivent être exclues. </v>
      </c>
      <c r="C12" s="722"/>
      <c r="D12" s="722"/>
      <c r="E12" s="722"/>
      <c r="F12" s="722"/>
      <c r="G12" s="722"/>
      <c r="H12" s="722"/>
      <c r="I12" s="722"/>
      <c r="J12" s="722"/>
      <c r="K12" s="722"/>
      <c r="L12" s="723"/>
      <c r="M12" s="19"/>
      <c r="N12" s="19"/>
      <c r="O12" s="15"/>
      <c r="P12" s="15"/>
    </row>
    <row r="13" spans="1:16" s="6" customFormat="1" x14ac:dyDescent="0.25">
      <c r="A13" s="33"/>
      <c r="B13" s="657" t="str">
        <f>Pro!B14</f>
        <v>• Déclarez toutes les ventes aux entreprises associées canadiennes et étrangères.</v>
      </c>
      <c r="C13" s="658"/>
      <c r="D13" s="658"/>
      <c r="E13" s="658"/>
      <c r="F13" s="658"/>
      <c r="G13" s="658"/>
      <c r="H13" s="658"/>
      <c r="I13" s="658"/>
      <c r="J13" s="658"/>
      <c r="K13" s="658"/>
      <c r="L13" s="659"/>
      <c r="M13" s="19"/>
      <c r="N13" s="19"/>
      <c r="O13" s="15"/>
      <c r="P13" s="15"/>
    </row>
    <row r="14" spans="1:16" s="6" customFormat="1" x14ac:dyDescent="0.25">
      <c r="A14" s="33"/>
      <c r="B14" s="657" t="str">
        <f>Pro!B15</f>
        <v>• Déclarez toutes les ventes à compter de la date de l’expédition au client ou à son entrepôt.</v>
      </c>
      <c r="C14" s="658"/>
      <c r="D14" s="658"/>
      <c r="E14" s="658"/>
      <c r="F14" s="658"/>
      <c r="G14" s="658"/>
      <c r="H14" s="658"/>
      <c r="I14" s="658"/>
      <c r="J14" s="658"/>
      <c r="K14" s="658"/>
      <c r="L14" s="659"/>
      <c r="M14" s="19"/>
      <c r="N14" s="19"/>
      <c r="O14" s="15"/>
      <c r="P14" s="15"/>
    </row>
    <row r="15" spans="1:16" s="6" customFormat="1" x14ac:dyDescent="0.25">
      <c r="A15" s="33"/>
      <c r="B15" s="657" t="str">
        <f>Pro!B16</f>
        <v>• Déclarez toutes les valeurs en dollars canadiens.</v>
      </c>
      <c r="C15" s="658"/>
      <c r="D15" s="658"/>
      <c r="E15" s="658"/>
      <c r="F15" s="658"/>
      <c r="G15" s="658"/>
      <c r="H15" s="658"/>
      <c r="I15" s="658"/>
      <c r="J15" s="658"/>
      <c r="K15" s="658"/>
      <c r="L15" s="659"/>
      <c r="M15" s="19"/>
      <c r="N15" s="19"/>
      <c r="O15" s="15"/>
      <c r="P15" s="15"/>
    </row>
    <row r="16" spans="1:16" s="6" customFormat="1" x14ac:dyDescent="0.25">
      <c r="A16" s="33"/>
      <c r="B16" s="660" t="str">
        <f>IF(Intro!$G$20="English",O16,P16)</f>
        <v>• Si votre entreprise est un utilisateur final ou un détaillant, elle n’a pas besoin de déclarer ses ventes d’importations ou ses stocks d’importations.</v>
      </c>
      <c r="C16" s="661"/>
      <c r="D16" s="661"/>
      <c r="E16" s="661"/>
      <c r="F16" s="661"/>
      <c r="G16" s="661"/>
      <c r="H16" s="661"/>
      <c r="I16" s="661"/>
      <c r="J16" s="661"/>
      <c r="K16" s="661"/>
      <c r="L16" s="662"/>
      <c r="M16" s="19"/>
      <c r="N16" s="19"/>
      <c r="O16" s="15" t="s">
        <v>263</v>
      </c>
      <c r="P16" s="15" t="s">
        <v>264</v>
      </c>
    </row>
    <row r="17" spans="1:16" s="6" customFormat="1" x14ac:dyDescent="0.25">
      <c r="A17" s="33"/>
      <c r="B17" s="263"/>
      <c r="C17" s="263"/>
      <c r="D17" s="263"/>
      <c r="E17" s="263"/>
      <c r="F17" s="263"/>
      <c r="G17" s="263"/>
      <c r="H17" s="263"/>
      <c r="I17" s="263"/>
      <c r="J17" s="263"/>
      <c r="K17" s="263"/>
      <c r="L17" s="263"/>
      <c r="M17" s="19"/>
      <c r="N17" s="19"/>
      <c r="O17" s="15"/>
      <c r="P17" s="15"/>
    </row>
    <row r="18" spans="1:16" s="6" customFormat="1" x14ac:dyDescent="0.25">
      <c r="A18" s="33"/>
      <c r="B18" s="14"/>
      <c r="C18" s="14"/>
      <c r="D18" s="14"/>
      <c r="E18" s="3"/>
      <c r="F18" s="3"/>
      <c r="G18" s="3"/>
      <c r="H18" s="3"/>
      <c r="I18" s="3"/>
      <c r="J18" s="3"/>
      <c r="K18" s="3"/>
      <c r="L18" s="3"/>
      <c r="O18" s="15"/>
      <c r="P18" s="15"/>
    </row>
    <row r="19" spans="1:16" x14ac:dyDescent="0.25">
      <c r="B19" s="533" t="str">
        <f>IF(Intro!$G$20="English",O19,P19)</f>
        <v>IMPORTATIONS ET VENTES</v>
      </c>
      <c r="C19" s="534"/>
      <c r="D19" s="534"/>
      <c r="E19" s="534"/>
      <c r="F19" s="534"/>
      <c r="G19" s="534"/>
      <c r="H19" s="534"/>
      <c r="I19" s="534"/>
      <c r="J19" s="534"/>
      <c r="K19" s="534"/>
      <c r="L19" s="535"/>
      <c r="M19" s="10"/>
      <c r="O19" s="105" t="s">
        <v>333</v>
      </c>
      <c r="P19" s="105" t="s">
        <v>334</v>
      </c>
    </row>
    <row r="20" spans="1:16" x14ac:dyDescent="0.25">
      <c r="B20" s="671" t="s">
        <v>12</v>
      </c>
      <c r="C20" s="672"/>
      <c r="D20" s="672"/>
      <c r="E20" s="672"/>
      <c r="F20" s="672"/>
      <c r="G20" s="672"/>
      <c r="H20" s="672"/>
      <c r="I20" s="672"/>
      <c r="J20" s="672"/>
      <c r="K20" s="672"/>
      <c r="L20" s="673"/>
      <c r="M20" s="10"/>
    </row>
    <row r="21" spans="1:16" x14ac:dyDescent="0.25">
      <c r="B21" s="16"/>
      <c r="C21" s="35"/>
      <c r="D21" s="35"/>
      <c r="E21" s="36"/>
      <c r="F21" s="36"/>
      <c r="G21" s="36"/>
      <c r="H21" s="36"/>
      <c r="I21" s="36"/>
      <c r="J21" s="36"/>
      <c r="K21" s="36"/>
      <c r="L21" s="17"/>
      <c r="M21" s="10"/>
    </row>
    <row r="22" spans="1:16" ht="15.75" x14ac:dyDescent="0.25">
      <c r="B22" s="713" t="str">
        <f>IF(Intro!$G$20="English",O22,P22)</f>
        <v xml:space="preserve">Indiquez les importations et les ventes de marchandises de votre entreprise de : </v>
      </c>
      <c r="C22" s="715"/>
      <c r="D22" s="715"/>
      <c r="E22" s="715"/>
      <c r="F22" s="715"/>
      <c r="G22" s="739" t="str">
        <f>IF(Intro!$G$20="English",Variables!B54,Variables!C54)</f>
        <v>Mexique</v>
      </c>
      <c r="H22" s="739"/>
      <c r="I22" s="739"/>
      <c r="J22" s="739"/>
      <c r="K22" s="739"/>
      <c r="L22" s="249"/>
      <c r="M22" s="10"/>
      <c r="O22" s="10" t="s">
        <v>283</v>
      </c>
      <c r="P22" s="10" t="s">
        <v>284</v>
      </c>
    </row>
    <row r="23" spans="1:16" x14ac:dyDescent="0.25">
      <c r="B23" s="131"/>
      <c r="C23" s="132"/>
      <c r="D23" s="132"/>
      <c r="E23" s="132"/>
      <c r="F23" s="132"/>
      <c r="G23" s="36"/>
      <c r="H23" s="36"/>
      <c r="I23" s="36"/>
      <c r="J23" s="36"/>
      <c r="K23" s="36"/>
      <c r="L23" s="17"/>
      <c r="M23" s="10"/>
    </row>
    <row r="24" spans="1:16" x14ac:dyDescent="0.25">
      <c r="B24" s="131"/>
      <c r="C24" s="132"/>
      <c r="D24" s="132"/>
      <c r="E24" s="132"/>
      <c r="F24" s="132"/>
      <c r="G24" s="253">
        <f>Variables!$B$6</f>
        <v>2023</v>
      </c>
      <c r="H24" s="253">
        <f>G24+1</f>
        <v>2024</v>
      </c>
      <c r="I24" s="253">
        <f>H24+1</f>
        <v>2025</v>
      </c>
      <c r="J24" s="253" t="str">
        <f>IF(Intro!$G$20="English",Variables!B9,Variables!C9)</f>
        <v>janv.-mars 2025</v>
      </c>
      <c r="K24" s="253" t="str">
        <f>IF(Intro!$G$20="English",Variables!B10,Variables!C10)</f>
        <v>janv.-mars 2026</v>
      </c>
      <c r="L24" s="71"/>
      <c r="M24" s="10"/>
      <c r="O24" s="18"/>
    </row>
    <row r="25" spans="1:16" s="207" customFormat="1" x14ac:dyDescent="0.25">
      <c r="A25" s="32"/>
      <c r="B25" s="729" t="str">
        <f>IF(Intro!$G$20="English",O25,P25)</f>
        <v>Importations au Canada</v>
      </c>
      <c r="C25" s="730"/>
      <c r="D25" s="730"/>
      <c r="E25" s="730"/>
      <c r="F25" s="730"/>
      <c r="G25" s="730"/>
      <c r="H25" s="730"/>
      <c r="I25" s="730"/>
      <c r="J25" s="730"/>
      <c r="K25" s="730"/>
      <c r="L25" s="71"/>
      <c r="O25" s="26" t="s">
        <v>234</v>
      </c>
      <c r="P25" s="207" t="s">
        <v>235</v>
      </c>
    </row>
    <row r="26" spans="1:16" x14ac:dyDescent="0.25">
      <c r="B26" s="736" t="str">
        <f>IF(Intro!$G$20="English",O26,P26)</f>
        <v>Importations</v>
      </c>
      <c r="C26" s="737"/>
      <c r="D26" s="738" t="str">
        <f>IF(Intro!$G$20="English",Variables!$B$23,Variables!$C$23)</f>
        <v>tonnes</v>
      </c>
      <c r="E26" s="738"/>
      <c r="F26" s="738"/>
      <c r="G26" s="133"/>
      <c r="H26" s="133"/>
      <c r="I26" s="133"/>
      <c r="J26" s="133"/>
      <c r="K26" s="127"/>
      <c r="L26" s="71"/>
      <c r="M26" s="10"/>
      <c r="O26" s="10" t="s">
        <v>91</v>
      </c>
      <c r="P26" s="10" t="s">
        <v>170</v>
      </c>
    </row>
    <row r="27" spans="1:16" x14ac:dyDescent="0.25">
      <c r="B27" s="736"/>
      <c r="C27" s="737"/>
      <c r="D27" s="738" t="str">
        <f>IF(Intro!$G$20="English",O27,P27)</f>
        <v>valeur d'achat nette rendue (CAD)</v>
      </c>
      <c r="E27" s="738"/>
      <c r="F27" s="738"/>
      <c r="G27" s="133"/>
      <c r="H27" s="133"/>
      <c r="I27" s="133"/>
      <c r="J27" s="133"/>
      <c r="K27" s="127"/>
      <c r="L27" s="71"/>
      <c r="M27" s="10"/>
      <c r="O27" s="10" t="s">
        <v>341</v>
      </c>
      <c r="P27" s="10" t="s">
        <v>340</v>
      </c>
    </row>
    <row r="28" spans="1:16" x14ac:dyDescent="0.25">
      <c r="B28" s="736"/>
      <c r="C28" s="737"/>
      <c r="D28" s="738" t="str">
        <f>"$ / "&amp;IF(Intro!$G$20="English",Variables!$B$24,Variables!$C$24)</f>
        <v>$ / tonne</v>
      </c>
      <c r="E28" s="738"/>
      <c r="F28" s="738"/>
      <c r="G28" s="150" t="str">
        <f>IF(G26=0,"-",G27/G26)</f>
        <v>-</v>
      </c>
      <c r="H28" s="150" t="str">
        <f>IF(H26=0,"-",H27/H26)</f>
        <v>-</v>
      </c>
      <c r="I28" s="150" t="str">
        <f t="shared" ref="I28:K28" si="0">IF(I26=0,"-",I27/I26)</f>
        <v>-</v>
      </c>
      <c r="J28" s="150" t="str">
        <f t="shared" si="0"/>
        <v>-</v>
      </c>
      <c r="K28" s="150" t="str">
        <f t="shared" si="0"/>
        <v>-</v>
      </c>
      <c r="L28" s="71"/>
      <c r="M28" s="10"/>
    </row>
    <row r="29" spans="1:16" s="207" customFormat="1" x14ac:dyDescent="0.25">
      <c r="A29" s="32"/>
      <c r="B29" s="731" t="str">
        <f>IF(Intro!$G$20="English",O29,P29)</f>
        <v>Ventes au Canada</v>
      </c>
      <c r="C29" s="732"/>
      <c r="D29" s="732"/>
      <c r="E29" s="732"/>
      <c r="F29" s="732"/>
      <c r="G29" s="732"/>
      <c r="H29" s="732"/>
      <c r="I29" s="732"/>
      <c r="J29" s="732"/>
      <c r="K29" s="732"/>
      <c r="L29" s="71"/>
      <c r="O29" s="26" t="s">
        <v>236</v>
      </c>
      <c r="P29" s="207" t="s">
        <v>237</v>
      </c>
    </row>
    <row r="30" spans="1:16" s="207" customFormat="1" x14ac:dyDescent="0.25">
      <c r="A30" s="32"/>
      <c r="B30" s="731" t="str">
        <f>IF(Intro!$G$20="English",O30,P30)</f>
        <v>Sans soudure</v>
      </c>
      <c r="C30" s="732"/>
      <c r="D30" s="732"/>
      <c r="E30" s="732"/>
      <c r="F30" s="732"/>
      <c r="G30" s="732"/>
      <c r="H30" s="732"/>
      <c r="I30" s="732"/>
      <c r="J30" s="732"/>
      <c r="K30" s="732"/>
      <c r="L30" s="71"/>
      <c r="O30" s="26" t="s">
        <v>485</v>
      </c>
      <c r="P30" s="207" t="s">
        <v>508</v>
      </c>
    </row>
    <row r="31" spans="1:16" x14ac:dyDescent="0.25">
      <c r="B31" s="567" t="str">
        <f>IF(Intro!$G$20="English",O31,P31)</f>
        <v>Ventes aux distributeurs au Canada</v>
      </c>
      <c r="C31" s="568"/>
      <c r="D31" s="738" t="str">
        <f>D26</f>
        <v>tonnes</v>
      </c>
      <c r="E31" s="738"/>
      <c r="F31" s="738"/>
      <c r="G31" s="133"/>
      <c r="H31" s="133"/>
      <c r="I31" s="133"/>
      <c r="J31" s="133"/>
      <c r="K31" s="127"/>
      <c r="L31" s="71"/>
      <c r="M31" s="10"/>
      <c r="O31" s="10" t="str">
        <f>"Sales to "&amp;Variables!$B$26&amp;" in Canada"</f>
        <v>Sales to distributors in Canada</v>
      </c>
      <c r="P31" s="10" t="str">
        <f>"Ventes aux "&amp;Variables!$C$26&amp;" au Canada"</f>
        <v>Ventes aux distributeurs au Canada</v>
      </c>
    </row>
    <row r="32" spans="1:16" x14ac:dyDescent="0.25">
      <c r="B32" s="567"/>
      <c r="C32" s="568"/>
      <c r="D32" s="738" t="str">
        <f>IF(Intro!$G$20="English",O32,P32)</f>
        <v>valeur de vente nette rendue (CAD)</v>
      </c>
      <c r="E32" s="738"/>
      <c r="F32" s="738"/>
      <c r="G32" s="133"/>
      <c r="H32" s="133"/>
      <c r="I32" s="133"/>
      <c r="J32" s="133"/>
      <c r="K32" s="127"/>
      <c r="L32" s="71"/>
      <c r="M32" s="10"/>
      <c r="O32" s="10" t="s">
        <v>343</v>
      </c>
      <c r="P32" s="10" t="s">
        <v>342</v>
      </c>
    </row>
    <row r="33" spans="1:16" ht="15" thickBot="1" x14ac:dyDescent="0.3">
      <c r="B33" s="749"/>
      <c r="C33" s="750"/>
      <c r="D33" s="740" t="str">
        <f>D28</f>
        <v>$ / tonne</v>
      </c>
      <c r="E33" s="740"/>
      <c r="F33" s="740"/>
      <c r="G33" s="150" t="str">
        <f>IF(G31=0,"-",G32/G31)</f>
        <v>-</v>
      </c>
      <c r="H33" s="150" t="str">
        <f>IF(H31=0,"-",H32/H31)</f>
        <v>-</v>
      </c>
      <c r="I33" s="150" t="str">
        <f t="shared" ref="I33:K33" si="1">IF(I31=0,"-",I32/I31)</f>
        <v>-</v>
      </c>
      <c r="J33" s="150" t="str">
        <f t="shared" si="1"/>
        <v>-</v>
      </c>
      <c r="K33" s="150" t="str">
        <f t="shared" si="1"/>
        <v>-</v>
      </c>
      <c r="L33" s="71"/>
      <c r="M33" s="10"/>
      <c r="P33" s="10" t="s">
        <v>520</v>
      </c>
    </row>
    <row r="34" spans="1:16" x14ac:dyDescent="0.25">
      <c r="B34" s="751" t="str">
        <f>IF(Intro!$G$20="English",O34,P34)</f>
        <v>Ventes aux utilisateurs finals au Canada</v>
      </c>
      <c r="C34" s="752"/>
      <c r="D34" s="741" t="str">
        <f t="shared" ref="D34:D35" si="2">D31</f>
        <v>tonnes</v>
      </c>
      <c r="E34" s="741"/>
      <c r="F34" s="741"/>
      <c r="G34" s="133"/>
      <c r="H34" s="133"/>
      <c r="I34" s="133"/>
      <c r="J34" s="133"/>
      <c r="K34" s="127"/>
      <c r="L34" s="71"/>
      <c r="M34" s="10"/>
      <c r="O34" s="10" t="str">
        <f>"Sales to "&amp;Variables!$B$27&amp;" in Canada"</f>
        <v>Sales to end users in Canada</v>
      </c>
      <c r="P34" s="10" t="str">
        <f>"Ventes aux "&amp;Variables!$C$27&amp;" au Canada"</f>
        <v>Ventes aux utilisateurs finals au Canada</v>
      </c>
    </row>
    <row r="35" spans="1:16" x14ac:dyDescent="0.25">
      <c r="B35" s="567"/>
      <c r="C35" s="568"/>
      <c r="D35" s="738" t="str">
        <f t="shared" si="2"/>
        <v>valeur de vente nette rendue (CAD)</v>
      </c>
      <c r="E35" s="738"/>
      <c r="F35" s="738"/>
      <c r="G35" s="133"/>
      <c r="H35" s="133"/>
      <c r="I35" s="133"/>
      <c r="J35" s="133"/>
      <c r="K35" s="127"/>
      <c r="L35" s="71"/>
      <c r="M35" s="10"/>
    </row>
    <row r="36" spans="1:16" ht="15" thickBot="1" x14ac:dyDescent="0.3">
      <c r="B36" s="749"/>
      <c r="C36" s="750"/>
      <c r="D36" s="740" t="str">
        <f>D33</f>
        <v>$ / tonne</v>
      </c>
      <c r="E36" s="740"/>
      <c r="F36" s="740"/>
      <c r="G36" s="150" t="str">
        <f>IF(G34=0,"-",G35/G34)</f>
        <v>-</v>
      </c>
      <c r="H36" s="150" t="str">
        <f>IF(H34=0,"-",H35/H34)</f>
        <v>-</v>
      </c>
      <c r="I36" s="150" t="str">
        <f>IF(I34=0,"-",I35/I34)</f>
        <v>-</v>
      </c>
      <c r="J36" s="150" t="str">
        <f>IF(J34=0,"-",J35/J34)</f>
        <v>-</v>
      </c>
      <c r="K36" s="150" t="str">
        <f>IF(K34=0,"-",K35/K34)</f>
        <v>-</v>
      </c>
      <c r="L36" s="71"/>
      <c r="M36" s="10"/>
    </row>
    <row r="37" spans="1:16" x14ac:dyDescent="0.25">
      <c r="B37" s="731" t="str">
        <f>IF(Intro!$G$20="English",O37,P37)</f>
        <v>Soudé</v>
      </c>
      <c r="C37" s="732"/>
      <c r="D37" s="732"/>
      <c r="E37" s="732"/>
      <c r="F37" s="732"/>
      <c r="G37" s="732"/>
      <c r="H37" s="732"/>
      <c r="I37" s="732"/>
      <c r="J37" s="732"/>
      <c r="K37" s="732"/>
      <c r="L37" s="71"/>
      <c r="M37" s="10"/>
      <c r="O37" s="26" t="s">
        <v>486</v>
      </c>
      <c r="P37" s="207" t="s">
        <v>509</v>
      </c>
    </row>
    <row r="38" spans="1:16" x14ac:dyDescent="0.25">
      <c r="B38" s="567" t="str">
        <f>IF(Intro!$G$20="English",O31,P31)</f>
        <v>Ventes aux distributeurs au Canada</v>
      </c>
      <c r="C38" s="568"/>
      <c r="D38" s="738" t="str">
        <f>D34</f>
        <v>tonnes</v>
      </c>
      <c r="E38" s="738"/>
      <c r="F38" s="738"/>
      <c r="G38" s="133"/>
      <c r="H38" s="133"/>
      <c r="I38" s="133"/>
      <c r="J38" s="133"/>
      <c r="K38" s="127"/>
      <c r="L38" s="71"/>
      <c r="M38" s="10"/>
      <c r="O38" s="10" t="s">
        <v>343</v>
      </c>
      <c r="P38" s="10" t="s">
        <v>342</v>
      </c>
    </row>
    <row r="39" spans="1:16" x14ac:dyDescent="0.25">
      <c r="B39" s="567"/>
      <c r="C39" s="568"/>
      <c r="D39" s="738" t="str">
        <f>IF(Intro!$G$20="English",O38,P38)</f>
        <v>valeur de vente nette rendue (CAD)</v>
      </c>
      <c r="E39" s="738"/>
      <c r="F39" s="738"/>
      <c r="G39" s="133"/>
      <c r="H39" s="133"/>
      <c r="I39" s="133"/>
      <c r="J39" s="133"/>
      <c r="K39" s="127"/>
      <c r="L39" s="71"/>
      <c r="M39" s="10"/>
    </row>
    <row r="40" spans="1:16" ht="15" thickBot="1" x14ac:dyDescent="0.3">
      <c r="B40" s="749"/>
      <c r="C40" s="750"/>
      <c r="D40" s="740" t="str">
        <f>D36</f>
        <v>$ / tonne</v>
      </c>
      <c r="E40" s="740"/>
      <c r="F40" s="740"/>
      <c r="G40" s="150" t="str">
        <f>IF(G38=0,"-",G39/G38)</f>
        <v>-</v>
      </c>
      <c r="H40" s="150" t="str">
        <f>IF(H38=0,"-",H39/H38)</f>
        <v>-</v>
      </c>
      <c r="I40" s="150" t="str">
        <f t="shared" ref="I40:K40" si="3">IF(I38=0,"-",I39/I38)</f>
        <v>-</v>
      </c>
      <c r="J40" s="150" t="str">
        <f t="shared" si="3"/>
        <v>-</v>
      </c>
      <c r="K40" s="150" t="str">
        <f t="shared" si="3"/>
        <v>-</v>
      </c>
      <c r="L40" s="71"/>
      <c r="M40" s="10"/>
      <c r="O40" s="10" t="str">
        <f>"Sales to "&amp;Variables!$B$27&amp;" in Canada"</f>
        <v>Sales to end users in Canada</v>
      </c>
      <c r="P40" s="10" t="str">
        <f>"Ventes aux "&amp;Variables!$C$27&amp;" au Canada"</f>
        <v>Ventes aux utilisateurs finals au Canada</v>
      </c>
    </row>
    <row r="41" spans="1:16" x14ac:dyDescent="0.25">
      <c r="B41" s="751" t="str">
        <f>IF(Intro!$G$20="English",O34,P34)</f>
        <v>Ventes aux utilisateurs finals au Canada</v>
      </c>
      <c r="C41" s="752"/>
      <c r="D41" s="741" t="str">
        <f t="shared" ref="D41:D42" si="4">D38</f>
        <v>tonnes</v>
      </c>
      <c r="E41" s="741"/>
      <c r="F41" s="741"/>
      <c r="G41" s="133"/>
      <c r="H41" s="133"/>
      <c r="I41" s="133"/>
      <c r="J41" s="133"/>
      <c r="K41" s="127"/>
      <c r="L41" s="71"/>
      <c r="M41" s="10"/>
    </row>
    <row r="42" spans="1:16" x14ac:dyDescent="0.25">
      <c r="B42" s="567"/>
      <c r="C42" s="568"/>
      <c r="D42" s="738" t="str">
        <f t="shared" si="4"/>
        <v>valeur de vente nette rendue (CAD)</v>
      </c>
      <c r="E42" s="738"/>
      <c r="F42" s="738"/>
      <c r="G42" s="133"/>
      <c r="H42" s="133"/>
      <c r="I42" s="133"/>
      <c r="J42" s="133"/>
      <c r="K42" s="127"/>
      <c r="L42" s="71"/>
      <c r="M42" s="10"/>
    </row>
    <row r="43" spans="1:16" ht="15" thickBot="1" x14ac:dyDescent="0.3">
      <c r="B43" s="749"/>
      <c r="C43" s="750"/>
      <c r="D43" s="740" t="str">
        <f>D40</f>
        <v>$ / tonne</v>
      </c>
      <c r="E43" s="740"/>
      <c r="F43" s="740"/>
      <c r="G43" s="150" t="str">
        <f>IF(G41=0,"-",G42/G41)</f>
        <v>-</v>
      </c>
      <c r="H43" s="150" t="str">
        <f>IF(H41=0,"-",H42/H41)</f>
        <v>-</v>
      </c>
      <c r="I43" s="150" t="str">
        <f>IF(I41=0,"-",I42/I41)</f>
        <v>-</v>
      </c>
      <c r="J43" s="150" t="str">
        <f>IF(J41=0,"-",J42/J41)</f>
        <v>-</v>
      </c>
      <c r="K43" s="150" t="str">
        <f>IF(K41=0,"-",K42/K41)</f>
        <v>-</v>
      </c>
      <c r="L43" s="71"/>
      <c r="M43" s="10"/>
    </row>
    <row r="44" spans="1:16" x14ac:dyDescent="0.25">
      <c r="B44" s="634" t="str">
        <f>IF(Intro!$G$20="English",O44,P44)</f>
        <v>Ventes totales au Canada</v>
      </c>
      <c r="C44" s="635"/>
      <c r="D44" s="766" t="str">
        <f>D34</f>
        <v>tonnes</v>
      </c>
      <c r="E44" s="766"/>
      <c r="F44" s="766"/>
      <c r="G44" s="135">
        <f t="shared" ref="G44:K45" si="5">G31+G34+G38+G41</f>
        <v>0</v>
      </c>
      <c r="H44" s="135">
        <f t="shared" si="5"/>
        <v>0</v>
      </c>
      <c r="I44" s="135">
        <f t="shared" si="5"/>
        <v>0</v>
      </c>
      <c r="J44" s="135">
        <f t="shared" si="5"/>
        <v>0</v>
      </c>
      <c r="K44" s="135">
        <f t="shared" si="5"/>
        <v>0</v>
      </c>
      <c r="L44" s="71"/>
      <c r="M44" s="10"/>
      <c r="O44" s="10" t="s">
        <v>344</v>
      </c>
      <c r="P44" s="10" t="s">
        <v>345</v>
      </c>
    </row>
    <row r="45" spans="1:16" x14ac:dyDescent="0.25">
      <c r="B45" s="623"/>
      <c r="C45" s="624"/>
      <c r="D45" s="767" t="str">
        <f>D35</f>
        <v>valeur de vente nette rendue (CAD)</v>
      </c>
      <c r="E45" s="767"/>
      <c r="F45" s="767"/>
      <c r="G45" s="134">
        <f t="shared" si="5"/>
        <v>0</v>
      </c>
      <c r="H45" s="134">
        <f t="shared" si="5"/>
        <v>0</v>
      </c>
      <c r="I45" s="134">
        <f t="shared" si="5"/>
        <v>0</v>
      </c>
      <c r="J45" s="134">
        <f t="shared" si="5"/>
        <v>0</v>
      </c>
      <c r="K45" s="134">
        <f t="shared" si="5"/>
        <v>0</v>
      </c>
      <c r="L45" s="71"/>
      <c r="M45" s="10"/>
    </row>
    <row r="46" spans="1:16" x14ac:dyDescent="0.25">
      <c r="B46" s="623"/>
      <c r="C46" s="624"/>
      <c r="D46" s="767" t="str">
        <f>D36</f>
        <v>$ / tonne</v>
      </c>
      <c r="E46" s="767"/>
      <c r="F46" s="767"/>
      <c r="G46" s="150" t="str">
        <f>IF(G44=0,"-",G45/G44)</f>
        <v>-</v>
      </c>
      <c r="H46" s="150" t="str">
        <f>IF(H44=0,"-",H45/H44)</f>
        <v>-</v>
      </c>
      <c r="I46" s="150" t="str">
        <f>IF(I44=0,"-",I45/I44)</f>
        <v>-</v>
      </c>
      <c r="J46" s="150" t="str">
        <f t="shared" ref="J46:K46" si="6">IF(J44=0,"-",J45/J44)</f>
        <v>-</v>
      </c>
      <c r="K46" s="150" t="str">
        <f t="shared" si="6"/>
        <v>-</v>
      </c>
      <c r="L46" s="71"/>
      <c r="M46" s="10"/>
    </row>
    <row r="47" spans="1:16" x14ac:dyDescent="0.25">
      <c r="B47" s="72"/>
      <c r="C47" s="82"/>
      <c r="D47" s="82"/>
      <c r="E47" s="82"/>
      <c r="F47" s="82"/>
      <c r="G47" s="82"/>
      <c r="H47" s="82"/>
      <c r="I47" s="82"/>
      <c r="J47" s="82"/>
      <c r="K47" s="82"/>
      <c r="L47" s="83"/>
      <c r="M47" s="10"/>
    </row>
    <row r="48" spans="1:16" s="207" customFormat="1" x14ac:dyDescent="0.25">
      <c r="A48" s="7"/>
      <c r="B48" s="31"/>
      <c r="C48" s="31"/>
      <c r="D48" s="89"/>
      <c r="E48" s="250"/>
      <c r="F48" s="250"/>
      <c r="G48" s="250"/>
      <c r="H48" s="250"/>
      <c r="I48" s="250"/>
      <c r="J48" s="250"/>
      <c r="K48" s="250"/>
      <c r="L48" s="250"/>
      <c r="M48" s="73"/>
    </row>
    <row r="49" spans="1:16" x14ac:dyDescent="0.25">
      <c r="B49" s="533" t="str">
        <f>IF(Intro!$G$20="English",O49,P49)</f>
        <v>VENTES AU CANADA D'IMPORTATIONS À VOS CINQ PLUS IMPORTANTS CLIENTS</v>
      </c>
      <c r="C49" s="534"/>
      <c r="D49" s="534"/>
      <c r="E49" s="534"/>
      <c r="F49" s="534"/>
      <c r="G49" s="534"/>
      <c r="H49" s="534"/>
      <c r="I49" s="534"/>
      <c r="J49" s="534"/>
      <c r="K49" s="534"/>
      <c r="L49" s="535"/>
      <c r="M49" s="10"/>
      <c r="O49" s="105" t="s">
        <v>335</v>
      </c>
      <c r="P49" s="105" t="s">
        <v>397</v>
      </c>
    </row>
    <row r="50" spans="1:16" s="207" customFormat="1" x14ac:dyDescent="0.25">
      <c r="A50" s="7"/>
      <c r="B50" s="671" t="s">
        <v>15</v>
      </c>
      <c r="C50" s="672"/>
      <c r="D50" s="672"/>
      <c r="E50" s="672"/>
      <c r="F50" s="672"/>
      <c r="G50" s="672"/>
      <c r="H50" s="672"/>
      <c r="I50" s="672"/>
      <c r="J50" s="672"/>
      <c r="K50" s="672"/>
      <c r="L50" s="673"/>
      <c r="M50" s="73"/>
      <c r="O50" s="10"/>
    </row>
    <row r="51" spans="1:16" x14ac:dyDescent="0.25">
      <c r="B51" s="16"/>
      <c r="C51" s="35"/>
      <c r="D51" s="35"/>
      <c r="E51" s="36"/>
      <c r="F51" s="36"/>
      <c r="G51" s="36"/>
      <c r="H51" s="36"/>
      <c r="I51" s="36"/>
      <c r="J51" s="36"/>
      <c r="K51" s="36"/>
      <c r="L51" s="17"/>
      <c r="M51" s="10"/>
    </row>
    <row r="52" spans="1:16" x14ac:dyDescent="0.25">
      <c r="B52" s="530" t="str">
        <f>IF(Intro!$G$20="English",O52,P52)</f>
        <v>Déclarez le volume et la valeur des ventes d'importations au Canada pour chaque compte indiqué ci-dessous :</v>
      </c>
      <c r="C52" s="531"/>
      <c r="D52" s="531"/>
      <c r="E52" s="531"/>
      <c r="F52" s="531"/>
      <c r="G52" s="531"/>
      <c r="H52" s="531"/>
      <c r="I52" s="531"/>
      <c r="J52" s="531"/>
      <c r="K52" s="531"/>
      <c r="L52" s="532"/>
      <c r="M52" s="10"/>
      <c r="O52" s="18" t="s">
        <v>172</v>
      </c>
      <c r="P52" s="10" t="s">
        <v>173</v>
      </c>
    </row>
    <row r="53" spans="1:16" x14ac:dyDescent="0.25">
      <c r="B53" s="530" t="str">
        <f>Pro!B22</f>
        <v>Note - Ne répondez à cette question que si votre entreprise a vendu les marchandises du 1er janvier 2023 au 31 mars 2026.</v>
      </c>
      <c r="C53" s="531"/>
      <c r="D53" s="531"/>
      <c r="E53" s="531"/>
      <c r="F53" s="531"/>
      <c r="G53" s="531"/>
      <c r="H53" s="531"/>
      <c r="I53" s="531"/>
      <c r="J53" s="531"/>
      <c r="K53" s="531"/>
      <c r="L53" s="532"/>
      <c r="M53" s="10"/>
      <c r="O53" s="18"/>
    </row>
    <row r="54" spans="1:16" x14ac:dyDescent="0.25">
      <c r="B54" s="247"/>
      <c r="C54" s="248"/>
      <c r="D54" s="35"/>
      <c r="E54" s="36"/>
      <c r="F54" s="36"/>
      <c r="G54" s="36"/>
      <c r="H54" s="36"/>
      <c r="I54" s="36"/>
      <c r="J54" s="36"/>
      <c r="K54" s="36"/>
      <c r="L54" s="17"/>
      <c r="M54" s="10"/>
      <c r="O54" s="18"/>
    </row>
    <row r="55" spans="1:16" x14ac:dyDescent="0.25">
      <c r="B55" s="772"/>
      <c r="C55" s="773"/>
      <c r="D55" s="774"/>
      <c r="E55" s="251" t="str">
        <f>IF(Intro!$G$20="English","Q","T")&amp;IF(MID(F55,2,1)&lt;&gt;"1",MID(F55,2,1)-1&amp;" - "&amp;MID(F55,6,4),"4 - "&amp;MID(F55,6,4)-1)</f>
        <v>T2 - 2024</v>
      </c>
      <c r="F55" s="251" t="str">
        <f>IF(Intro!$G$20="English","Q","T")&amp;IF(MID(G55,2,1)&lt;&gt;"1",MID(G55,2,1)-1&amp;" - "&amp;MID(G55,6,4),"4 - "&amp;MID(G55,6,4)-1)</f>
        <v>T3 - 2024</v>
      </c>
      <c r="G55" s="251" t="str">
        <f>IF(Intro!$G$20="English","Q","T")&amp;IF(MID(H55,2,1)&lt;&gt;"1",MID(H55,2,1)-1&amp;" - "&amp;MID(H55,6,4),"4 - "&amp;MID(H55,6,4)-1)</f>
        <v>T4 - 2024</v>
      </c>
      <c r="H55" s="251" t="str">
        <f>IF(Intro!$G$20="English","Q","T")&amp;IF(MID(I55,2,1)&lt;&gt;"1",MID(I55,2,1)-1&amp;" - "&amp;MID(I55,6,4),"4 - "&amp;MID(I55,6,4)-1)</f>
        <v>T1 - 2025</v>
      </c>
      <c r="I55" s="251" t="str">
        <f>IF(Intro!$G$20="English","Q","T")&amp;IF(MID(J55,2,1)&lt;&gt;"1",MID(J55,2,1)-1&amp;" - "&amp;MID(J55,6,4),"4 - "&amp;MID(J55,6,4)-1)</f>
        <v>T2 - 2025</v>
      </c>
      <c r="J55" s="251" t="str">
        <f>IF(Intro!$G$20="English","Q","T")&amp;IF(MID(K55,2,1)&lt;&gt;"1",MID(K55,2,1)-1&amp;" - "&amp;MID(K55,6,4),"4 - "&amp;MID(K55,6,4)-1)</f>
        <v>T3 - 2025</v>
      </c>
      <c r="K55" s="251" t="str">
        <f>IF(Intro!$G$20="English","Q","T")&amp;IF(MID(L55,2,1)&lt;&gt;"1",MID(L55,2,1)-1&amp;" - "&amp;MID(L55,6,4),"4 - "&amp;MID(L55,6,4)-1)</f>
        <v>T4 - 2025</v>
      </c>
      <c r="L55" s="252" t="str">
        <f>IF(Intro!$G$20="English",Variables!B29&amp;" - ",Variables!C29&amp;" - ")&amp;Variables!B8</f>
        <v>T1 - 2026</v>
      </c>
      <c r="M55" s="10"/>
      <c r="O55" s="18"/>
    </row>
    <row r="56" spans="1:16" x14ac:dyDescent="0.25">
      <c r="B56" s="733" t="str">
        <f>IF(Intro!$G$20="English",O57,P57)</f>
        <v xml:space="preserve">Client 1 - </v>
      </c>
      <c r="C56" s="734"/>
      <c r="D56" s="734"/>
      <c r="E56" s="734"/>
      <c r="F56" s="734"/>
      <c r="G56" s="734"/>
      <c r="H56" s="734"/>
      <c r="I56" s="734"/>
      <c r="J56" s="734"/>
      <c r="K56" s="734"/>
      <c r="L56" s="735"/>
      <c r="M56" s="10"/>
      <c r="O56" s="18"/>
    </row>
    <row r="57" spans="1:16" x14ac:dyDescent="0.25">
      <c r="B57" s="747" t="str">
        <f>D$31</f>
        <v>tonnes</v>
      </c>
      <c r="C57" s="748"/>
      <c r="D57" s="748"/>
      <c r="E57" s="137"/>
      <c r="F57" s="137"/>
      <c r="G57" s="137"/>
      <c r="H57" s="137"/>
      <c r="I57" s="137"/>
      <c r="J57" s="137"/>
      <c r="K57" s="137"/>
      <c r="L57" s="138"/>
      <c r="M57" s="10"/>
      <c r="O57" s="10" t="str">
        <f>"Account 1 - "&amp;Pro!C119</f>
        <v xml:space="preserve">Account 1 - </v>
      </c>
      <c r="P57" s="10" t="str">
        <f>"Client 1 - "&amp;Pro!C119</f>
        <v xml:space="preserve">Client 1 - </v>
      </c>
    </row>
    <row r="58" spans="1:16" x14ac:dyDescent="0.25">
      <c r="B58" s="747" t="str">
        <f>D$32</f>
        <v>valeur de vente nette rendue (CAD)</v>
      </c>
      <c r="C58" s="748"/>
      <c r="D58" s="748"/>
      <c r="E58" s="137"/>
      <c r="F58" s="137"/>
      <c r="G58" s="137"/>
      <c r="H58" s="137"/>
      <c r="I58" s="137"/>
      <c r="J58" s="137"/>
      <c r="K58" s="137"/>
      <c r="L58" s="138"/>
      <c r="M58" s="10"/>
    </row>
    <row r="59" spans="1:16" x14ac:dyDescent="0.25">
      <c r="B59" s="747" t="str">
        <f>D$33</f>
        <v>$ / tonne</v>
      </c>
      <c r="C59" s="748"/>
      <c r="D59" s="748"/>
      <c r="E59" s="151" t="str">
        <f>IF(E57=0,"-",E58/E57)</f>
        <v>-</v>
      </c>
      <c r="F59" s="151" t="str">
        <f t="shared" ref="F59:L59" si="7">IF(F57=0,"-",F58/F57)</f>
        <v>-</v>
      </c>
      <c r="G59" s="151" t="str">
        <f t="shared" si="7"/>
        <v>-</v>
      </c>
      <c r="H59" s="151" t="str">
        <f t="shared" si="7"/>
        <v>-</v>
      </c>
      <c r="I59" s="151" t="str">
        <f t="shared" si="7"/>
        <v>-</v>
      </c>
      <c r="J59" s="151" t="str">
        <f t="shared" si="7"/>
        <v>-</v>
      </c>
      <c r="K59" s="151" t="str">
        <f t="shared" si="7"/>
        <v>-</v>
      </c>
      <c r="L59" s="152" t="str">
        <f t="shared" si="7"/>
        <v>-</v>
      </c>
      <c r="M59" s="10"/>
    </row>
    <row r="60" spans="1:16" x14ac:dyDescent="0.25">
      <c r="B60" s="733" t="str">
        <f>IF(Intro!$G$20="English",O61,P61)</f>
        <v xml:space="preserve">Client 2 - </v>
      </c>
      <c r="C60" s="734"/>
      <c r="D60" s="734"/>
      <c r="E60" s="734"/>
      <c r="F60" s="734"/>
      <c r="G60" s="734"/>
      <c r="H60" s="734"/>
      <c r="I60" s="734"/>
      <c r="J60" s="734"/>
      <c r="K60" s="734"/>
      <c r="L60" s="735"/>
      <c r="M60" s="10"/>
    </row>
    <row r="61" spans="1:16" x14ac:dyDescent="0.25">
      <c r="B61" s="747" t="str">
        <f>D$31</f>
        <v>tonnes</v>
      </c>
      <c r="C61" s="748"/>
      <c r="D61" s="748"/>
      <c r="E61" s="137"/>
      <c r="F61" s="137"/>
      <c r="G61" s="137"/>
      <c r="H61" s="137"/>
      <c r="I61" s="137"/>
      <c r="J61" s="137"/>
      <c r="K61" s="137"/>
      <c r="L61" s="138"/>
      <c r="M61" s="10"/>
      <c r="O61" s="10" t="str">
        <f>"Account 2 - "&amp;Pro!C120</f>
        <v xml:space="preserve">Account 2 - </v>
      </c>
      <c r="P61" s="10" t="str">
        <f>"Client 2 - "&amp;Pro!C120</f>
        <v xml:space="preserve">Client 2 - </v>
      </c>
    </row>
    <row r="62" spans="1:16" x14ac:dyDescent="0.25">
      <c r="B62" s="747" t="str">
        <f>D$32</f>
        <v>valeur de vente nette rendue (CAD)</v>
      </c>
      <c r="C62" s="748"/>
      <c r="D62" s="748"/>
      <c r="E62" s="137"/>
      <c r="F62" s="137"/>
      <c r="G62" s="137"/>
      <c r="H62" s="137"/>
      <c r="I62" s="137"/>
      <c r="J62" s="137"/>
      <c r="K62" s="137"/>
      <c r="L62" s="138"/>
      <c r="M62" s="10"/>
    </row>
    <row r="63" spans="1:16" x14ac:dyDescent="0.25">
      <c r="B63" s="747" t="str">
        <f>D$33</f>
        <v>$ / tonne</v>
      </c>
      <c r="C63" s="748"/>
      <c r="D63" s="748"/>
      <c r="E63" s="151" t="str">
        <f>IF(E61=0,"-",E62/E61)</f>
        <v>-</v>
      </c>
      <c r="F63" s="151" t="str">
        <f t="shared" ref="F63:L63" si="8">IF(F61=0,"-",F62/F61)</f>
        <v>-</v>
      </c>
      <c r="G63" s="151" t="str">
        <f t="shared" si="8"/>
        <v>-</v>
      </c>
      <c r="H63" s="151" t="str">
        <f t="shared" si="8"/>
        <v>-</v>
      </c>
      <c r="I63" s="151" t="str">
        <f t="shared" si="8"/>
        <v>-</v>
      </c>
      <c r="J63" s="151" t="str">
        <f t="shared" si="8"/>
        <v>-</v>
      </c>
      <c r="K63" s="151" t="str">
        <f t="shared" si="8"/>
        <v>-</v>
      </c>
      <c r="L63" s="152" t="str">
        <f t="shared" si="8"/>
        <v>-</v>
      </c>
      <c r="M63" s="10"/>
    </row>
    <row r="64" spans="1:16" x14ac:dyDescent="0.25">
      <c r="B64" s="733" t="str">
        <f>IF(Intro!$G$20="English",O65,P65)</f>
        <v xml:space="preserve">Client 3 - </v>
      </c>
      <c r="C64" s="734"/>
      <c r="D64" s="734"/>
      <c r="E64" s="734"/>
      <c r="F64" s="734"/>
      <c r="G64" s="734"/>
      <c r="H64" s="734"/>
      <c r="I64" s="734"/>
      <c r="J64" s="734"/>
      <c r="K64" s="734"/>
      <c r="L64" s="735"/>
      <c r="M64" s="10"/>
    </row>
    <row r="65" spans="2:19" x14ac:dyDescent="0.25">
      <c r="B65" s="747" t="str">
        <f>D$31</f>
        <v>tonnes</v>
      </c>
      <c r="C65" s="748"/>
      <c r="D65" s="748"/>
      <c r="E65" s="137"/>
      <c r="F65" s="137"/>
      <c r="G65" s="137"/>
      <c r="H65" s="137"/>
      <c r="I65" s="137"/>
      <c r="J65" s="137"/>
      <c r="K65" s="137"/>
      <c r="L65" s="138"/>
      <c r="M65" s="10"/>
      <c r="O65" s="10" t="str">
        <f>"Account 3 - "&amp;Pro!C121</f>
        <v xml:space="preserve">Account 3 - </v>
      </c>
      <c r="P65" s="10" t="str">
        <f>"Client 3 - "&amp;Pro!C121</f>
        <v xml:space="preserve">Client 3 - </v>
      </c>
    </row>
    <row r="66" spans="2:19" x14ac:dyDescent="0.25">
      <c r="B66" s="747" t="str">
        <f>D$32</f>
        <v>valeur de vente nette rendue (CAD)</v>
      </c>
      <c r="C66" s="748"/>
      <c r="D66" s="748"/>
      <c r="E66" s="137"/>
      <c r="F66" s="137"/>
      <c r="G66" s="137"/>
      <c r="H66" s="137"/>
      <c r="I66" s="137"/>
      <c r="J66" s="137"/>
      <c r="K66" s="137"/>
      <c r="L66" s="138"/>
      <c r="M66" s="10"/>
    </row>
    <row r="67" spans="2:19" x14ac:dyDescent="0.25">
      <c r="B67" s="747" t="str">
        <f>D$33</f>
        <v>$ / tonne</v>
      </c>
      <c r="C67" s="748"/>
      <c r="D67" s="748"/>
      <c r="E67" s="151" t="str">
        <f>IF(E65=0,"-",E66/E65)</f>
        <v>-</v>
      </c>
      <c r="F67" s="151" t="str">
        <f t="shared" ref="F67:L67" si="9">IF(F65=0,"-",F66/F65)</f>
        <v>-</v>
      </c>
      <c r="G67" s="151" t="str">
        <f t="shared" si="9"/>
        <v>-</v>
      </c>
      <c r="H67" s="151" t="str">
        <f t="shared" si="9"/>
        <v>-</v>
      </c>
      <c r="I67" s="151" t="str">
        <f t="shared" si="9"/>
        <v>-</v>
      </c>
      <c r="J67" s="151" t="str">
        <f t="shared" si="9"/>
        <v>-</v>
      </c>
      <c r="K67" s="151" t="str">
        <f t="shared" si="9"/>
        <v>-</v>
      </c>
      <c r="L67" s="152" t="str">
        <f t="shared" si="9"/>
        <v>-</v>
      </c>
      <c r="M67" s="10"/>
    </row>
    <row r="68" spans="2:19" x14ac:dyDescent="0.25">
      <c r="B68" s="733" t="str">
        <f>IF(Intro!$G$20="English",O69,P69)</f>
        <v xml:space="preserve">Client 4 - </v>
      </c>
      <c r="C68" s="734"/>
      <c r="D68" s="734"/>
      <c r="E68" s="734"/>
      <c r="F68" s="734"/>
      <c r="G68" s="734"/>
      <c r="H68" s="734"/>
      <c r="I68" s="734"/>
      <c r="J68" s="734"/>
      <c r="K68" s="734"/>
      <c r="L68" s="735"/>
      <c r="M68" s="10"/>
    </row>
    <row r="69" spans="2:19" x14ac:dyDescent="0.25">
      <c r="B69" s="747" t="str">
        <f>D$31</f>
        <v>tonnes</v>
      </c>
      <c r="C69" s="748"/>
      <c r="D69" s="748"/>
      <c r="E69" s="137"/>
      <c r="F69" s="137"/>
      <c r="G69" s="137"/>
      <c r="H69" s="137"/>
      <c r="I69" s="137"/>
      <c r="J69" s="137"/>
      <c r="K69" s="137"/>
      <c r="L69" s="138"/>
      <c r="M69" s="10"/>
      <c r="O69" s="10" t="str">
        <f>"Account 4 - "&amp;Pro!C122</f>
        <v xml:space="preserve">Account 4 - </v>
      </c>
      <c r="P69" s="10" t="str">
        <f>"Client 4 - "&amp;Pro!C122</f>
        <v xml:space="preserve">Client 4 - </v>
      </c>
    </row>
    <row r="70" spans="2:19" x14ac:dyDescent="0.25">
      <c r="B70" s="747" t="str">
        <f>D$32</f>
        <v>valeur de vente nette rendue (CAD)</v>
      </c>
      <c r="C70" s="748"/>
      <c r="D70" s="748"/>
      <c r="E70" s="137"/>
      <c r="F70" s="137"/>
      <c r="G70" s="137"/>
      <c r="H70" s="137"/>
      <c r="I70" s="137"/>
      <c r="J70" s="137"/>
      <c r="K70" s="137"/>
      <c r="L70" s="138"/>
      <c r="M70" s="10"/>
    </row>
    <row r="71" spans="2:19" x14ac:dyDescent="0.25">
      <c r="B71" s="747" t="str">
        <f>D$33</f>
        <v>$ / tonne</v>
      </c>
      <c r="C71" s="748"/>
      <c r="D71" s="748"/>
      <c r="E71" s="151" t="str">
        <f>IF(E69=0,"-",E70/E69)</f>
        <v>-</v>
      </c>
      <c r="F71" s="151" t="str">
        <f t="shared" ref="F71:L71" si="10">IF(F69=0,"-",F70/F69)</f>
        <v>-</v>
      </c>
      <c r="G71" s="151" t="str">
        <f t="shared" si="10"/>
        <v>-</v>
      </c>
      <c r="H71" s="151" t="str">
        <f t="shared" si="10"/>
        <v>-</v>
      </c>
      <c r="I71" s="151" t="str">
        <f t="shared" si="10"/>
        <v>-</v>
      </c>
      <c r="J71" s="151" t="str">
        <f t="shared" si="10"/>
        <v>-</v>
      </c>
      <c r="K71" s="151" t="str">
        <f t="shared" si="10"/>
        <v>-</v>
      </c>
      <c r="L71" s="152" t="str">
        <f t="shared" si="10"/>
        <v>-</v>
      </c>
      <c r="M71" s="10"/>
    </row>
    <row r="72" spans="2:19" x14ac:dyDescent="0.25">
      <c r="B72" s="733" t="str">
        <f>IF(Intro!$G$20="English",O73,P73)</f>
        <v xml:space="preserve">Client 5 - </v>
      </c>
      <c r="C72" s="734"/>
      <c r="D72" s="734"/>
      <c r="E72" s="734"/>
      <c r="F72" s="734"/>
      <c r="G72" s="734"/>
      <c r="H72" s="734"/>
      <c r="I72" s="734"/>
      <c r="J72" s="734"/>
      <c r="K72" s="734"/>
      <c r="L72" s="735"/>
      <c r="M72" s="10"/>
    </row>
    <row r="73" spans="2:19" x14ac:dyDescent="0.25">
      <c r="B73" s="747" t="str">
        <f>D$31</f>
        <v>tonnes</v>
      </c>
      <c r="C73" s="748"/>
      <c r="D73" s="748"/>
      <c r="E73" s="137"/>
      <c r="F73" s="137"/>
      <c r="G73" s="137"/>
      <c r="H73" s="137"/>
      <c r="I73" s="137"/>
      <c r="J73" s="137"/>
      <c r="K73" s="137"/>
      <c r="L73" s="138"/>
      <c r="M73" s="10"/>
      <c r="O73" s="10" t="str">
        <f>"Account 5 - "&amp;Pro!C123</f>
        <v xml:space="preserve">Account 5 - </v>
      </c>
      <c r="P73" s="10" t="str">
        <f>"Client 5 - "&amp;Pro!C123</f>
        <v xml:space="preserve">Client 5 - </v>
      </c>
    </row>
    <row r="74" spans="2:19" x14ac:dyDescent="0.25">
      <c r="B74" s="747" t="str">
        <f>D$32</f>
        <v>valeur de vente nette rendue (CAD)</v>
      </c>
      <c r="C74" s="748"/>
      <c r="D74" s="748"/>
      <c r="E74" s="137"/>
      <c r="F74" s="137"/>
      <c r="G74" s="137"/>
      <c r="H74" s="137"/>
      <c r="I74" s="137"/>
      <c r="J74" s="137"/>
      <c r="K74" s="137"/>
      <c r="L74" s="138"/>
      <c r="M74" s="10"/>
    </row>
    <row r="75" spans="2:19" x14ac:dyDescent="0.25">
      <c r="B75" s="747" t="str">
        <f>D$33</f>
        <v>$ / tonne</v>
      </c>
      <c r="C75" s="748"/>
      <c r="D75" s="748"/>
      <c r="E75" s="151" t="str">
        <f>IF(E73=0,"-",E74/E73)</f>
        <v>-</v>
      </c>
      <c r="F75" s="151" t="str">
        <f t="shared" ref="F75:L75" si="11">IF(F73=0,"-",F74/F73)</f>
        <v>-</v>
      </c>
      <c r="G75" s="151" t="str">
        <f t="shared" si="11"/>
        <v>-</v>
      </c>
      <c r="H75" s="151" t="str">
        <f t="shared" si="11"/>
        <v>-</v>
      </c>
      <c r="I75" s="151" t="str">
        <f t="shared" si="11"/>
        <v>-</v>
      </c>
      <c r="J75" s="151" t="str">
        <f t="shared" si="11"/>
        <v>-</v>
      </c>
      <c r="K75" s="151" t="str">
        <f t="shared" si="11"/>
        <v>-</v>
      </c>
      <c r="L75" s="152" t="str">
        <f t="shared" si="11"/>
        <v>-</v>
      </c>
      <c r="M75" s="10"/>
    </row>
    <row r="76" spans="2:19" x14ac:dyDescent="0.25">
      <c r="B76" s="247"/>
      <c r="C76" s="248"/>
      <c r="D76" s="248"/>
      <c r="E76" s="29"/>
      <c r="F76" s="29"/>
      <c r="G76" s="29"/>
      <c r="H76" s="29"/>
      <c r="I76" s="29"/>
      <c r="J76" s="29"/>
      <c r="K76" s="29"/>
      <c r="L76" s="30"/>
      <c r="M76" s="10"/>
    </row>
    <row r="77" spans="2:19" x14ac:dyDescent="0.25">
      <c r="B77" s="530" t="str">
        <f>IF(Intro!$G$20="English",O77,P77)</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7" s="531"/>
      <c r="D77" s="531"/>
      <c r="E77" s="531"/>
      <c r="F77" s="531"/>
      <c r="G77" s="531"/>
      <c r="H77" s="531"/>
      <c r="I77" s="531"/>
      <c r="J77" s="531"/>
      <c r="K77" s="531"/>
      <c r="L77" s="532"/>
      <c r="M77" s="10"/>
      <c r="O77" s="10" t="s">
        <v>359</v>
      </c>
      <c r="P77" s="10" t="s">
        <v>360</v>
      </c>
      <c r="S77" s="38"/>
    </row>
    <row r="78" spans="2:19" x14ac:dyDescent="0.25">
      <c r="B78" s="530"/>
      <c r="C78" s="531"/>
      <c r="D78" s="531"/>
      <c r="E78" s="531"/>
      <c r="F78" s="531"/>
      <c r="G78" s="531"/>
      <c r="H78" s="531"/>
      <c r="I78" s="531"/>
      <c r="J78" s="531"/>
      <c r="K78" s="531"/>
      <c r="L78" s="532"/>
      <c r="M78" s="10"/>
      <c r="S78" s="38"/>
    </row>
    <row r="79" spans="2:19" x14ac:dyDescent="0.25">
      <c r="B79" s="247"/>
      <c r="C79" s="248"/>
      <c r="D79" s="248"/>
      <c r="E79" s="29"/>
      <c r="F79" s="29"/>
      <c r="G79" s="29"/>
      <c r="H79" s="29"/>
      <c r="I79" s="29"/>
      <c r="J79" s="29"/>
      <c r="K79" s="29"/>
      <c r="L79" s="30"/>
      <c r="M79" s="10"/>
      <c r="S79" s="38"/>
    </row>
    <row r="80" spans="2:19" ht="14.1" customHeight="1" x14ac:dyDescent="0.25">
      <c r="B80" s="753" t="str">
        <f>Variables!D66</f>
        <v>Vérification - volume</v>
      </c>
      <c r="C80" s="644"/>
      <c r="D80" s="644"/>
      <c r="E80" s="644"/>
      <c r="F80" s="645"/>
      <c r="G80" s="251">
        <f>H80-1</f>
        <v>2024</v>
      </c>
      <c r="H80" s="251">
        <f>Variables!B8-1</f>
        <v>2025</v>
      </c>
      <c r="I80" s="251" t="str">
        <f>J24</f>
        <v>janv.-mars 2025</v>
      </c>
      <c r="J80" s="251" t="str">
        <f>K24</f>
        <v>janv.-mars 2026</v>
      </c>
      <c r="K80" s="225"/>
      <c r="L80" s="226"/>
      <c r="M80" s="10"/>
      <c r="O80" s="10" t="s">
        <v>379</v>
      </c>
      <c r="P80" s="10" t="s">
        <v>380</v>
      </c>
    </row>
    <row r="81" spans="1:16" ht="14.1" customHeight="1" x14ac:dyDescent="0.25">
      <c r="B81" s="757" t="str">
        <f>D31</f>
        <v>tonnes</v>
      </c>
      <c r="C81" s="758"/>
      <c r="D81" s="758"/>
      <c r="E81" s="758"/>
      <c r="F81" s="759"/>
      <c r="G81" s="187" t="str">
        <f>IF(SUM(E57:G57,E61:G61,E65:G65,E69:G69,E73:G73)&gt;H44,Variables!$D$67,Variables!$D$68)</f>
        <v>Correct</v>
      </c>
      <c r="H81" s="187" t="str">
        <f>IF(SUM(H57:K57,H61:K61,H65:K65,H69:K69,H73:K73)&gt;I44,Variables!$D$67,Variables!$D$68)</f>
        <v>Correct</v>
      </c>
      <c r="I81" s="187" t="str">
        <f>IF(SUM(H57,H61,H65,H69,H73)&gt;J44,Variables!$D$67,Variables!$D$68)</f>
        <v>Correct</v>
      </c>
      <c r="J81" s="187" t="str">
        <f>IF(SUM(L57,L61,L65,L69,L73)&gt;K44,Variables!$D$67,Variables!$D$68)</f>
        <v>Correct</v>
      </c>
      <c r="K81" s="225"/>
      <c r="L81" s="226"/>
      <c r="M81" s="10"/>
    </row>
    <row r="82" spans="1:16" ht="26.25" customHeight="1" x14ac:dyDescent="0.25">
      <c r="B82" s="754" t="str">
        <f>IF(Intro!$G$20="English",O82,P82)</f>
        <v>volume - total des ventes au Canada d'importations aux cinq principaux clients (Question 2)</v>
      </c>
      <c r="C82" s="755"/>
      <c r="D82" s="755"/>
      <c r="E82" s="755"/>
      <c r="F82" s="756"/>
      <c r="G82" s="187">
        <f>SUM(E57:G57,E61:G61,E65:G65,E69:G69,E73:G73)</f>
        <v>0</v>
      </c>
      <c r="H82" s="187">
        <f>SUM(H57:K57,H61:K61,H65:K65,H69:K69,H73:K73)</f>
        <v>0</v>
      </c>
      <c r="I82" s="187">
        <f>SUM(H57,H61,H65,H69,H73)</f>
        <v>0</v>
      </c>
      <c r="J82" s="187">
        <f>SUM(L57,L61,L65,L69,L73)</f>
        <v>0</v>
      </c>
      <c r="K82" s="225"/>
      <c r="L82" s="226"/>
      <c r="M82" s="10"/>
      <c r="O82" s="73" t="s">
        <v>439</v>
      </c>
      <c r="P82" s="10" t="s">
        <v>441</v>
      </c>
    </row>
    <row r="83" spans="1:16" ht="14.1" customHeight="1" x14ac:dyDescent="0.25">
      <c r="B83" s="754" t="str">
        <f>IF(Intro!$G$20="English",O83,P83)</f>
        <v>volume - total des ventes au Canada d'importations (Question 1)</v>
      </c>
      <c r="C83" s="755"/>
      <c r="D83" s="755"/>
      <c r="E83" s="755"/>
      <c r="F83" s="756"/>
      <c r="G83" s="187">
        <f>H44</f>
        <v>0</v>
      </c>
      <c r="H83" s="187">
        <f>I44</f>
        <v>0</v>
      </c>
      <c r="I83" s="187">
        <f>J44</f>
        <v>0</v>
      </c>
      <c r="J83" s="187">
        <f>K44</f>
        <v>0</v>
      </c>
      <c r="K83" s="225"/>
      <c r="L83" s="226"/>
      <c r="M83" s="10"/>
      <c r="O83" s="10" t="s">
        <v>440</v>
      </c>
      <c r="P83" s="10" t="s">
        <v>442</v>
      </c>
    </row>
    <row r="84" spans="1:16" ht="14.1" customHeight="1" x14ac:dyDescent="0.25">
      <c r="B84" s="760" t="str">
        <f>Variables!D70</f>
        <v>Vérification - valeur</v>
      </c>
      <c r="C84" s="761"/>
      <c r="D84" s="761"/>
      <c r="E84" s="761"/>
      <c r="F84" s="762"/>
      <c r="G84" s="251">
        <f>G80</f>
        <v>2024</v>
      </c>
      <c r="H84" s="251">
        <f>H80</f>
        <v>2025</v>
      </c>
      <c r="I84" s="251" t="str">
        <f>I80</f>
        <v>janv.-mars 2025</v>
      </c>
      <c r="J84" s="251" t="str">
        <f>J80</f>
        <v>janv.-mars 2026</v>
      </c>
      <c r="K84" s="225"/>
      <c r="L84" s="226"/>
      <c r="M84" s="10"/>
    </row>
    <row r="85" spans="1:16" ht="14.1" customHeight="1" x14ac:dyDescent="0.25">
      <c r="B85" s="783" t="str">
        <f>D32</f>
        <v>valeur de vente nette rendue (CAD)</v>
      </c>
      <c r="C85" s="784"/>
      <c r="D85" s="784"/>
      <c r="E85" s="784"/>
      <c r="F85" s="785"/>
      <c r="G85" s="187" t="str">
        <f>IF(SUM(E58:G58,E62:G62,E66:G66,E70:G70,E74:G74)&gt;H45,Variables!$D$67,Variables!$D$68)</f>
        <v>Correct</v>
      </c>
      <c r="H85" s="187" t="str">
        <f>IF(SUM(H58:K58,H62:K62,H66:K66,H70:K70,H74:K74)&gt;I45,Variables!$D$67,Variables!$D$68)</f>
        <v>Correct</v>
      </c>
      <c r="I85" s="187" t="str">
        <f>IF(SUM(H58,H62,H66,H70,H74)&gt;J45,Variables!$D$67,Variables!$D$68)</f>
        <v>Correct</v>
      </c>
      <c r="J85" s="187" t="str">
        <f>IF(SUM(L58,L62,L66,L70,L74)&gt;K45,Variables!$D$67,Variables!$D$68)</f>
        <v>Correct</v>
      </c>
      <c r="K85" s="225"/>
      <c r="L85" s="226"/>
      <c r="M85" s="10"/>
    </row>
    <row r="86" spans="1:16" ht="14.1" customHeight="1" x14ac:dyDescent="0.25">
      <c r="B86" s="786" t="str">
        <f>IF(Intro!$G$20="English",O86,P86)</f>
        <v>valeur - total des ventes au Canada d'importations aux cinq principaux clients (Question 2)</v>
      </c>
      <c r="C86" s="787"/>
      <c r="D86" s="787"/>
      <c r="E86" s="787"/>
      <c r="F86" s="788"/>
      <c r="G86" s="187">
        <f>SUM(E58:G58,E62:G62,E66:G66,E70:G70,E74:G74)</f>
        <v>0</v>
      </c>
      <c r="H86" s="187">
        <f>SUM(H58:K58,H62:K62,H66:K66,H70:K70,H74:K74)</f>
        <v>0</v>
      </c>
      <c r="I86" s="187">
        <f>SUM(H58,H62,H66,H70,H74)</f>
        <v>0</v>
      </c>
      <c r="J86" s="187">
        <f>SUM(L58,L62,L66,L70,L74)</f>
        <v>0</v>
      </c>
      <c r="K86" s="225"/>
      <c r="L86" s="226"/>
      <c r="M86" s="10"/>
      <c r="O86" s="73" t="s">
        <v>445</v>
      </c>
      <c r="P86" s="10" t="s">
        <v>443</v>
      </c>
    </row>
    <row r="87" spans="1:16" ht="14.1" customHeight="1" x14ac:dyDescent="0.25">
      <c r="B87" s="786" t="str">
        <f>IF(Intro!$G$20="English",O87,P87)</f>
        <v>valeur - total des ventes au Canada d'importations (Question 1)</v>
      </c>
      <c r="C87" s="787"/>
      <c r="D87" s="787"/>
      <c r="E87" s="787"/>
      <c r="F87" s="788"/>
      <c r="G87" s="187">
        <f>H45</f>
        <v>0</v>
      </c>
      <c r="H87" s="187">
        <f>I45</f>
        <v>0</v>
      </c>
      <c r="I87" s="187">
        <f>J45</f>
        <v>0</v>
      </c>
      <c r="J87" s="187">
        <f>K45</f>
        <v>0</v>
      </c>
      <c r="K87" s="225"/>
      <c r="L87" s="226"/>
      <c r="M87" s="10"/>
      <c r="O87" s="10" t="s">
        <v>446</v>
      </c>
      <c r="P87" s="10" t="s">
        <v>444</v>
      </c>
    </row>
    <row r="88" spans="1:16" x14ac:dyDescent="0.25">
      <c r="B88" s="72"/>
      <c r="C88" s="82"/>
      <c r="D88" s="82"/>
      <c r="E88" s="82"/>
      <c r="F88" s="82"/>
      <c r="G88" s="82"/>
      <c r="H88" s="82"/>
      <c r="I88" s="82"/>
      <c r="J88" s="164"/>
      <c r="K88" s="164"/>
      <c r="L88" s="165"/>
      <c r="M88" s="10"/>
    </row>
    <row r="89" spans="1:16" s="207" customFormat="1" x14ac:dyDescent="0.25">
      <c r="A89" s="7"/>
      <c r="B89" s="31"/>
      <c r="C89" s="31"/>
      <c r="D89" s="89"/>
      <c r="E89" s="250"/>
      <c r="F89" s="250"/>
      <c r="G89" s="250"/>
      <c r="H89" s="250"/>
      <c r="I89" s="250"/>
      <c r="J89" s="250"/>
      <c r="K89" s="250"/>
      <c r="L89" s="250"/>
      <c r="M89" s="73"/>
    </row>
    <row r="90" spans="1:16" x14ac:dyDescent="0.25">
      <c r="B90" s="533" t="str">
        <f>IF(Intro!$G$20="English",O90,P90)</f>
        <v>IMPORTATIONS DE PRODUITS DE RÉFÉRENCE</v>
      </c>
      <c r="C90" s="534"/>
      <c r="D90" s="534"/>
      <c r="E90" s="534"/>
      <c r="F90" s="534"/>
      <c r="G90" s="534"/>
      <c r="H90" s="534"/>
      <c r="I90" s="534"/>
      <c r="J90" s="534"/>
      <c r="K90" s="534"/>
      <c r="L90" s="535"/>
      <c r="M90" s="10"/>
      <c r="O90" s="105" t="s">
        <v>332</v>
      </c>
      <c r="P90" s="105" t="s">
        <v>398</v>
      </c>
    </row>
    <row r="91" spans="1:16" x14ac:dyDescent="0.25">
      <c r="B91" s="671" t="s">
        <v>16</v>
      </c>
      <c r="C91" s="672"/>
      <c r="D91" s="672"/>
      <c r="E91" s="672"/>
      <c r="F91" s="672"/>
      <c r="G91" s="672"/>
      <c r="H91" s="672"/>
      <c r="I91" s="672"/>
      <c r="J91" s="672"/>
      <c r="K91" s="672"/>
      <c r="L91" s="673"/>
      <c r="M91" s="10"/>
    </row>
    <row r="92" spans="1:16" x14ac:dyDescent="0.25">
      <c r="B92" s="16"/>
      <c r="C92" s="35"/>
      <c r="D92" s="35"/>
      <c r="E92" s="36"/>
      <c r="F92" s="36"/>
      <c r="G92" s="36"/>
      <c r="H92" s="36"/>
      <c r="I92" s="36"/>
      <c r="J92" s="36"/>
      <c r="K92" s="36"/>
      <c r="L92" s="17"/>
      <c r="M92" s="10"/>
    </row>
    <row r="93" spans="1:16" x14ac:dyDescent="0.25">
      <c r="B93" s="530" t="str">
        <f>IF(Intro!$G$20="English",O93,P93)</f>
        <v>Indiquez le volume et la valeur des importations pour chaque produit de référence :</v>
      </c>
      <c r="C93" s="531"/>
      <c r="D93" s="531"/>
      <c r="E93" s="531"/>
      <c r="F93" s="531"/>
      <c r="G93" s="531"/>
      <c r="H93" s="531"/>
      <c r="I93" s="531"/>
      <c r="J93" s="531"/>
      <c r="K93" s="531"/>
      <c r="L93" s="532"/>
      <c r="M93" s="10"/>
      <c r="O93" s="18" t="s">
        <v>192</v>
      </c>
      <c r="P93" s="10" t="s">
        <v>193</v>
      </c>
    </row>
    <row r="94" spans="1:16" x14ac:dyDescent="0.25">
      <c r="B94" s="247"/>
      <c r="C94" s="248"/>
      <c r="D94" s="35"/>
      <c r="E94" s="36"/>
      <c r="F94" s="36"/>
      <c r="G94" s="36"/>
      <c r="H94" s="36"/>
      <c r="I94" s="36"/>
      <c r="J94" s="36"/>
      <c r="K94" s="36"/>
      <c r="L94" s="17"/>
      <c r="M94" s="10"/>
      <c r="O94" s="18"/>
    </row>
    <row r="95" spans="1:16" x14ac:dyDescent="0.25">
      <c r="B95" s="772"/>
      <c r="C95" s="773"/>
      <c r="D95" s="774"/>
      <c r="E95" s="251" t="str">
        <f t="shared" ref="E95:L95" si="12">E55</f>
        <v>T2 - 2024</v>
      </c>
      <c r="F95" s="251" t="str">
        <f t="shared" si="12"/>
        <v>T3 - 2024</v>
      </c>
      <c r="G95" s="251" t="str">
        <f t="shared" si="12"/>
        <v>T4 - 2024</v>
      </c>
      <c r="H95" s="251" t="str">
        <f t="shared" si="12"/>
        <v>T1 - 2025</v>
      </c>
      <c r="I95" s="251" t="str">
        <f t="shared" si="12"/>
        <v>T2 - 2025</v>
      </c>
      <c r="J95" s="251" t="str">
        <f t="shared" si="12"/>
        <v>T3 - 2025</v>
      </c>
      <c r="K95" s="251" t="str">
        <f t="shared" si="12"/>
        <v>T4 - 2025</v>
      </c>
      <c r="L95" s="252" t="str">
        <f t="shared" si="12"/>
        <v>T1 - 2026</v>
      </c>
      <c r="M95" s="10"/>
      <c r="O95" s="18"/>
    </row>
    <row r="96" spans="1:16" x14ac:dyDescent="0.25">
      <c r="B96" s="768" t="str">
        <f>IF(Intro!$G$20="English",Variables!B30,Variables!C30)</f>
        <v xml:space="preserve">Tubage sans soudure L80 (y compris les améliorations) avec raccord API </v>
      </c>
      <c r="C96" s="641"/>
      <c r="D96" s="641"/>
      <c r="E96" s="641"/>
      <c r="F96" s="641"/>
      <c r="G96" s="641"/>
      <c r="H96" s="641"/>
      <c r="I96" s="641"/>
      <c r="J96" s="641"/>
      <c r="K96" s="641"/>
      <c r="L96" s="769"/>
      <c r="M96" s="10"/>
    </row>
    <row r="97" spans="2:13" x14ac:dyDescent="0.25">
      <c r="B97" s="770"/>
      <c r="C97" s="647"/>
      <c r="D97" s="647"/>
      <c r="E97" s="647"/>
      <c r="F97" s="647"/>
      <c r="G97" s="647"/>
      <c r="H97" s="647"/>
      <c r="I97" s="647"/>
      <c r="J97" s="647"/>
      <c r="K97" s="647"/>
      <c r="L97" s="771"/>
      <c r="M97" s="10"/>
    </row>
    <row r="98" spans="2:13" x14ac:dyDescent="0.25">
      <c r="B98" s="747" t="str">
        <f>D$26</f>
        <v>tonnes</v>
      </c>
      <c r="C98" s="748"/>
      <c r="D98" s="748"/>
      <c r="E98" s="137"/>
      <c r="F98" s="137"/>
      <c r="G98" s="137"/>
      <c r="H98" s="137"/>
      <c r="I98" s="137"/>
      <c r="J98" s="137"/>
      <c r="K98" s="137"/>
      <c r="L98" s="138"/>
      <c r="M98" s="10"/>
    </row>
    <row r="99" spans="2:13" x14ac:dyDescent="0.25">
      <c r="B99" s="747" t="str">
        <f>D$27</f>
        <v>valeur d'achat nette rendue (CAD)</v>
      </c>
      <c r="C99" s="748"/>
      <c r="D99" s="748"/>
      <c r="E99" s="137"/>
      <c r="F99" s="137"/>
      <c r="G99" s="137"/>
      <c r="H99" s="137"/>
      <c r="I99" s="137"/>
      <c r="J99" s="137"/>
      <c r="K99" s="137"/>
      <c r="L99" s="138"/>
      <c r="M99" s="10"/>
    </row>
    <row r="100" spans="2:13" x14ac:dyDescent="0.25">
      <c r="B100" s="747" t="str">
        <f>D$28</f>
        <v>$ / tonne</v>
      </c>
      <c r="C100" s="748"/>
      <c r="D100" s="748"/>
      <c r="E100" s="151" t="str">
        <f t="shared" ref="E100:L100" si="13">IF(E98=0,"-",E99/E98)</f>
        <v>-</v>
      </c>
      <c r="F100" s="151" t="str">
        <f t="shared" si="13"/>
        <v>-</v>
      </c>
      <c r="G100" s="151" t="str">
        <f t="shared" si="13"/>
        <v>-</v>
      </c>
      <c r="H100" s="151" t="str">
        <f t="shared" si="13"/>
        <v>-</v>
      </c>
      <c r="I100" s="151" t="str">
        <f t="shared" si="13"/>
        <v>-</v>
      </c>
      <c r="J100" s="151" t="str">
        <f t="shared" si="13"/>
        <v>-</v>
      </c>
      <c r="K100" s="151" t="str">
        <f t="shared" si="13"/>
        <v>-</v>
      </c>
      <c r="L100" s="152" t="str">
        <f t="shared" si="13"/>
        <v>-</v>
      </c>
      <c r="M100" s="10"/>
    </row>
    <row r="101" spans="2:13" x14ac:dyDescent="0.25">
      <c r="B101" s="768" t="str">
        <f>IF(Intro!$G$20="English",Variables!B31,Variables!C31)</f>
        <v>Tubage soudé L80 (y compris les améliorations) avec raccord API</v>
      </c>
      <c r="C101" s="641"/>
      <c r="D101" s="641"/>
      <c r="E101" s="641"/>
      <c r="F101" s="641"/>
      <c r="G101" s="641"/>
      <c r="H101" s="641"/>
      <c r="I101" s="641"/>
      <c r="J101" s="641"/>
      <c r="K101" s="641"/>
      <c r="L101" s="769"/>
      <c r="M101" s="10"/>
    </row>
    <row r="102" spans="2:13" x14ac:dyDescent="0.25">
      <c r="B102" s="770"/>
      <c r="C102" s="647"/>
      <c r="D102" s="647"/>
      <c r="E102" s="647"/>
      <c r="F102" s="647"/>
      <c r="G102" s="647"/>
      <c r="H102" s="647"/>
      <c r="I102" s="647"/>
      <c r="J102" s="647"/>
      <c r="K102" s="647"/>
      <c r="L102" s="771"/>
      <c r="M102" s="10"/>
    </row>
    <row r="103" spans="2:13" x14ac:dyDescent="0.25">
      <c r="B103" s="747" t="str">
        <f>D$26</f>
        <v>tonnes</v>
      </c>
      <c r="C103" s="748"/>
      <c r="D103" s="748"/>
      <c r="E103" s="137"/>
      <c r="F103" s="137"/>
      <c r="G103" s="137"/>
      <c r="H103" s="137"/>
      <c r="I103" s="137"/>
      <c r="J103" s="137"/>
      <c r="K103" s="137"/>
      <c r="L103" s="138"/>
      <c r="M103" s="10"/>
    </row>
    <row r="104" spans="2:13" x14ac:dyDescent="0.25">
      <c r="B104" s="747" t="str">
        <f>D$27</f>
        <v>valeur d'achat nette rendue (CAD)</v>
      </c>
      <c r="C104" s="748"/>
      <c r="D104" s="748"/>
      <c r="E104" s="137"/>
      <c r="F104" s="137"/>
      <c r="G104" s="137"/>
      <c r="H104" s="137"/>
      <c r="I104" s="137"/>
      <c r="J104" s="137"/>
      <c r="K104" s="137"/>
      <c r="L104" s="138"/>
      <c r="M104" s="10"/>
    </row>
    <row r="105" spans="2:13" x14ac:dyDescent="0.25">
      <c r="B105" s="747" t="str">
        <f>D$28</f>
        <v>$ / tonne</v>
      </c>
      <c r="C105" s="748"/>
      <c r="D105" s="748"/>
      <c r="E105" s="151" t="str">
        <f t="shared" ref="E105:L105" si="14">IF(E103=0,"-",E104/E103)</f>
        <v>-</v>
      </c>
      <c r="F105" s="151" t="str">
        <f t="shared" si="14"/>
        <v>-</v>
      </c>
      <c r="G105" s="151" t="str">
        <f t="shared" si="14"/>
        <v>-</v>
      </c>
      <c r="H105" s="151" t="str">
        <f t="shared" si="14"/>
        <v>-</v>
      </c>
      <c r="I105" s="151" t="str">
        <f t="shared" si="14"/>
        <v>-</v>
      </c>
      <c r="J105" s="151" t="str">
        <f t="shared" si="14"/>
        <v>-</v>
      </c>
      <c r="K105" s="151" t="str">
        <f t="shared" si="14"/>
        <v>-</v>
      </c>
      <c r="L105" s="152" t="str">
        <f t="shared" si="14"/>
        <v>-</v>
      </c>
      <c r="M105" s="10"/>
    </row>
    <row r="106" spans="2:13" x14ac:dyDescent="0.25">
      <c r="B106" s="768" t="str">
        <f>IF(Intro!$G$20="English",Variables!B32,Variables!C32)</f>
        <v xml:space="preserve">Tubage sans soudure L80 (y compris les améliorations) avec raccord de qualité semi-supérieure </v>
      </c>
      <c r="C106" s="641"/>
      <c r="D106" s="641"/>
      <c r="E106" s="641"/>
      <c r="F106" s="641"/>
      <c r="G106" s="641"/>
      <c r="H106" s="641"/>
      <c r="I106" s="641"/>
      <c r="J106" s="641"/>
      <c r="K106" s="641"/>
      <c r="L106" s="769"/>
      <c r="M106" s="10"/>
    </row>
    <row r="107" spans="2:13" x14ac:dyDescent="0.25">
      <c r="B107" s="770"/>
      <c r="C107" s="647"/>
      <c r="D107" s="647"/>
      <c r="E107" s="647"/>
      <c r="F107" s="647"/>
      <c r="G107" s="647"/>
      <c r="H107" s="647"/>
      <c r="I107" s="647"/>
      <c r="J107" s="647"/>
      <c r="K107" s="647"/>
      <c r="L107" s="771"/>
      <c r="M107" s="10"/>
    </row>
    <row r="108" spans="2:13" x14ac:dyDescent="0.25">
      <c r="B108" s="747" t="str">
        <f>D$26</f>
        <v>tonnes</v>
      </c>
      <c r="C108" s="748"/>
      <c r="D108" s="748"/>
      <c r="E108" s="137"/>
      <c r="F108" s="137"/>
      <c r="G108" s="137"/>
      <c r="H108" s="137"/>
      <c r="I108" s="137"/>
      <c r="J108" s="137"/>
      <c r="K108" s="137"/>
      <c r="L108" s="138"/>
      <c r="M108" s="10"/>
    </row>
    <row r="109" spans="2:13" x14ac:dyDescent="0.25">
      <c r="B109" s="747" t="str">
        <f>D$27</f>
        <v>valeur d'achat nette rendue (CAD)</v>
      </c>
      <c r="C109" s="748"/>
      <c r="D109" s="748"/>
      <c r="E109" s="137"/>
      <c r="F109" s="137"/>
      <c r="G109" s="137"/>
      <c r="H109" s="137"/>
      <c r="I109" s="137"/>
      <c r="J109" s="137"/>
      <c r="K109" s="137"/>
      <c r="L109" s="138"/>
      <c r="M109" s="10"/>
    </row>
    <row r="110" spans="2:13" x14ac:dyDescent="0.25">
      <c r="B110" s="747" t="str">
        <f>D$28</f>
        <v>$ / tonne</v>
      </c>
      <c r="C110" s="748"/>
      <c r="D110" s="748"/>
      <c r="E110" s="151" t="str">
        <f t="shared" ref="E110:L110" si="15">IF(E108=0,"-",E109/E108)</f>
        <v>-</v>
      </c>
      <c r="F110" s="151" t="str">
        <f t="shared" si="15"/>
        <v>-</v>
      </c>
      <c r="G110" s="151" t="str">
        <f t="shared" si="15"/>
        <v>-</v>
      </c>
      <c r="H110" s="151" t="str">
        <f t="shared" si="15"/>
        <v>-</v>
      </c>
      <c r="I110" s="151" t="str">
        <f t="shared" si="15"/>
        <v>-</v>
      </c>
      <c r="J110" s="151" t="str">
        <f t="shared" si="15"/>
        <v>-</v>
      </c>
      <c r="K110" s="151" t="str">
        <f t="shared" si="15"/>
        <v>-</v>
      </c>
      <c r="L110" s="152" t="str">
        <f t="shared" si="15"/>
        <v>-</v>
      </c>
      <c r="M110" s="10"/>
    </row>
    <row r="111" spans="2:13" x14ac:dyDescent="0.25">
      <c r="B111" s="768" t="str">
        <f>IF(Intro!$G$20="English",Variables!B33,Variables!C33)</f>
        <v xml:space="preserve">Tubage soudé L80 (y compris les améliorations) avec raccord de qualité semi-supérieure </v>
      </c>
      <c r="C111" s="641"/>
      <c r="D111" s="641"/>
      <c r="E111" s="641"/>
      <c r="F111" s="641"/>
      <c r="G111" s="641"/>
      <c r="H111" s="641"/>
      <c r="I111" s="641"/>
      <c r="J111" s="641"/>
      <c r="K111" s="641"/>
      <c r="L111" s="769"/>
      <c r="M111" s="10"/>
    </row>
    <row r="112" spans="2:13" x14ac:dyDescent="0.25">
      <c r="B112" s="770"/>
      <c r="C112" s="647"/>
      <c r="D112" s="647"/>
      <c r="E112" s="647"/>
      <c r="F112" s="647"/>
      <c r="G112" s="647"/>
      <c r="H112" s="647"/>
      <c r="I112" s="647"/>
      <c r="J112" s="647"/>
      <c r="K112" s="647"/>
      <c r="L112" s="771"/>
      <c r="M112" s="10"/>
    </row>
    <row r="113" spans="2:13" x14ac:dyDescent="0.25">
      <c r="B113" s="747" t="str">
        <f>D$26</f>
        <v>tonnes</v>
      </c>
      <c r="C113" s="748"/>
      <c r="D113" s="748"/>
      <c r="E113" s="137"/>
      <c r="F113" s="137"/>
      <c r="G113" s="137"/>
      <c r="H113" s="137"/>
      <c r="I113" s="137"/>
      <c r="J113" s="137"/>
      <c r="K113" s="137"/>
      <c r="L113" s="138"/>
      <c r="M113" s="10"/>
    </row>
    <row r="114" spans="2:13" x14ac:dyDescent="0.25">
      <c r="B114" s="747" t="str">
        <f>D$27</f>
        <v>valeur d'achat nette rendue (CAD)</v>
      </c>
      <c r="C114" s="748"/>
      <c r="D114" s="748"/>
      <c r="E114" s="137"/>
      <c r="F114" s="137"/>
      <c r="G114" s="137"/>
      <c r="H114" s="137"/>
      <c r="I114" s="137"/>
      <c r="J114" s="137"/>
      <c r="K114" s="137"/>
      <c r="L114" s="138"/>
      <c r="M114" s="10"/>
    </row>
    <row r="115" spans="2:13" x14ac:dyDescent="0.25">
      <c r="B115" s="747" t="str">
        <f>D$28</f>
        <v>$ / tonne</v>
      </c>
      <c r="C115" s="748"/>
      <c r="D115" s="748"/>
      <c r="E115" s="151" t="str">
        <f t="shared" ref="E115:L115" si="16">IF(E113=0,"-",E114/E113)</f>
        <v>-</v>
      </c>
      <c r="F115" s="151" t="str">
        <f t="shared" si="16"/>
        <v>-</v>
      </c>
      <c r="G115" s="151" t="str">
        <f t="shared" si="16"/>
        <v>-</v>
      </c>
      <c r="H115" s="151" t="str">
        <f t="shared" si="16"/>
        <v>-</v>
      </c>
      <c r="I115" s="151" t="str">
        <f t="shared" si="16"/>
        <v>-</v>
      </c>
      <c r="J115" s="151" t="str">
        <f t="shared" si="16"/>
        <v>-</v>
      </c>
      <c r="K115" s="151" t="str">
        <f t="shared" si="16"/>
        <v>-</v>
      </c>
      <c r="L115" s="152" t="str">
        <f t="shared" si="16"/>
        <v>-</v>
      </c>
      <c r="M115" s="10"/>
    </row>
    <row r="116" spans="2:13" x14ac:dyDescent="0.25">
      <c r="B116" s="768" t="str">
        <f>IF(Intro!$G$20="English",Variables!B34,Variables!C34)</f>
        <v xml:space="preserve">Tubage sans soudure P110 (y compris les améliorations) avec raccord API </v>
      </c>
      <c r="C116" s="641"/>
      <c r="D116" s="641"/>
      <c r="E116" s="641"/>
      <c r="F116" s="641"/>
      <c r="G116" s="641"/>
      <c r="H116" s="641"/>
      <c r="I116" s="641"/>
      <c r="J116" s="641"/>
      <c r="K116" s="641"/>
      <c r="L116" s="769"/>
      <c r="M116" s="10"/>
    </row>
    <row r="117" spans="2:13" x14ac:dyDescent="0.25">
      <c r="B117" s="770"/>
      <c r="C117" s="647"/>
      <c r="D117" s="647"/>
      <c r="E117" s="647"/>
      <c r="F117" s="647"/>
      <c r="G117" s="647"/>
      <c r="H117" s="647"/>
      <c r="I117" s="647"/>
      <c r="J117" s="647"/>
      <c r="K117" s="647"/>
      <c r="L117" s="771"/>
      <c r="M117" s="10"/>
    </row>
    <row r="118" spans="2:13" x14ac:dyDescent="0.25">
      <c r="B118" s="747" t="str">
        <f>D$26</f>
        <v>tonnes</v>
      </c>
      <c r="C118" s="748"/>
      <c r="D118" s="748"/>
      <c r="E118" s="137"/>
      <c r="F118" s="137"/>
      <c r="G118" s="137"/>
      <c r="H118" s="137"/>
      <c r="I118" s="137"/>
      <c r="J118" s="137"/>
      <c r="K118" s="137"/>
      <c r="L118" s="138"/>
      <c r="M118" s="10"/>
    </row>
    <row r="119" spans="2:13" x14ac:dyDescent="0.25">
      <c r="B119" s="747" t="str">
        <f>D$27</f>
        <v>valeur d'achat nette rendue (CAD)</v>
      </c>
      <c r="C119" s="748"/>
      <c r="D119" s="748"/>
      <c r="E119" s="137"/>
      <c r="F119" s="137"/>
      <c r="G119" s="137"/>
      <c r="H119" s="137"/>
      <c r="I119" s="137"/>
      <c r="J119" s="137"/>
      <c r="K119" s="137"/>
      <c r="L119" s="138"/>
      <c r="M119" s="10"/>
    </row>
    <row r="120" spans="2:13" x14ac:dyDescent="0.25">
      <c r="B120" s="747" t="str">
        <f>D$28</f>
        <v>$ / tonne</v>
      </c>
      <c r="C120" s="748"/>
      <c r="D120" s="748"/>
      <c r="E120" s="151" t="str">
        <f t="shared" ref="E120:L120" si="17">IF(E118=0,"-",E119/E118)</f>
        <v>-</v>
      </c>
      <c r="F120" s="151" t="str">
        <f t="shared" si="17"/>
        <v>-</v>
      </c>
      <c r="G120" s="151" t="str">
        <f t="shared" si="17"/>
        <v>-</v>
      </c>
      <c r="H120" s="151" t="str">
        <f t="shared" si="17"/>
        <v>-</v>
      </c>
      <c r="I120" s="151" t="str">
        <f t="shared" si="17"/>
        <v>-</v>
      </c>
      <c r="J120" s="151" t="str">
        <f t="shared" si="17"/>
        <v>-</v>
      </c>
      <c r="K120" s="151" t="str">
        <f t="shared" si="17"/>
        <v>-</v>
      </c>
      <c r="L120" s="152" t="str">
        <f t="shared" si="17"/>
        <v>-</v>
      </c>
      <c r="M120" s="10"/>
    </row>
    <row r="121" spans="2:13" x14ac:dyDescent="0.25">
      <c r="B121" s="768" t="str">
        <f>IF(Intro!$G$20="English",Variables!B35,Variables!C35)</f>
        <v xml:space="preserve">Tubage soudé P110 (y compris les améliorations) avec raccord API </v>
      </c>
      <c r="C121" s="641"/>
      <c r="D121" s="641"/>
      <c r="E121" s="641"/>
      <c r="F121" s="641"/>
      <c r="G121" s="641"/>
      <c r="H121" s="641"/>
      <c r="I121" s="641"/>
      <c r="J121" s="641"/>
      <c r="K121" s="641"/>
      <c r="L121" s="769"/>
      <c r="M121" s="10"/>
    </row>
    <row r="122" spans="2:13" x14ac:dyDescent="0.25">
      <c r="B122" s="770"/>
      <c r="C122" s="647"/>
      <c r="D122" s="647"/>
      <c r="E122" s="647"/>
      <c r="F122" s="647"/>
      <c r="G122" s="647"/>
      <c r="H122" s="647"/>
      <c r="I122" s="647"/>
      <c r="J122" s="647"/>
      <c r="K122" s="647"/>
      <c r="L122" s="771"/>
      <c r="M122" s="10"/>
    </row>
    <row r="123" spans="2:13" x14ac:dyDescent="0.25">
      <c r="B123" s="747" t="str">
        <f>D$26</f>
        <v>tonnes</v>
      </c>
      <c r="C123" s="748"/>
      <c r="D123" s="748"/>
      <c r="E123" s="137"/>
      <c r="F123" s="137"/>
      <c r="G123" s="137"/>
      <c r="H123" s="137"/>
      <c r="I123" s="137"/>
      <c r="J123" s="137"/>
      <c r="K123" s="137"/>
      <c r="L123" s="138"/>
      <c r="M123" s="10"/>
    </row>
    <row r="124" spans="2:13" x14ac:dyDescent="0.25">
      <c r="B124" s="747" t="str">
        <f>D$27</f>
        <v>valeur d'achat nette rendue (CAD)</v>
      </c>
      <c r="C124" s="748"/>
      <c r="D124" s="748"/>
      <c r="E124" s="137"/>
      <c r="F124" s="137"/>
      <c r="G124" s="137"/>
      <c r="H124" s="137"/>
      <c r="I124" s="137"/>
      <c r="J124" s="137"/>
      <c r="K124" s="137"/>
      <c r="L124" s="138"/>
      <c r="M124" s="10"/>
    </row>
    <row r="125" spans="2:13" x14ac:dyDescent="0.25">
      <c r="B125" s="747" t="str">
        <f>D$28</f>
        <v>$ / tonne</v>
      </c>
      <c r="C125" s="748"/>
      <c r="D125" s="748"/>
      <c r="E125" s="151" t="str">
        <f t="shared" ref="E125:L125" si="18">IF(E123=0,"-",E124/E123)</f>
        <v>-</v>
      </c>
      <c r="F125" s="151" t="str">
        <f t="shared" si="18"/>
        <v>-</v>
      </c>
      <c r="G125" s="151" t="str">
        <f t="shared" si="18"/>
        <v>-</v>
      </c>
      <c r="H125" s="151" t="str">
        <f t="shared" si="18"/>
        <v>-</v>
      </c>
      <c r="I125" s="151" t="str">
        <f t="shared" si="18"/>
        <v>-</v>
      </c>
      <c r="J125" s="151" t="str">
        <f t="shared" si="18"/>
        <v>-</v>
      </c>
      <c r="K125" s="151" t="str">
        <f t="shared" si="18"/>
        <v>-</v>
      </c>
      <c r="L125" s="152" t="str">
        <f t="shared" si="18"/>
        <v>-</v>
      </c>
      <c r="M125" s="10"/>
    </row>
    <row r="126" spans="2:13" x14ac:dyDescent="0.25">
      <c r="B126" s="768" t="str">
        <f>IF(Intro!$G$20="English",Variables!B36,Variables!C36)</f>
        <v>Tubage sans soudure P110 (y compris les améliorations) avec raccord de qualité semi-supérieure</v>
      </c>
      <c r="C126" s="641"/>
      <c r="D126" s="641"/>
      <c r="E126" s="641"/>
      <c r="F126" s="641"/>
      <c r="G126" s="641"/>
      <c r="H126" s="641"/>
      <c r="I126" s="641"/>
      <c r="J126" s="641"/>
      <c r="K126" s="641"/>
      <c r="L126" s="769"/>
      <c r="M126" s="10"/>
    </row>
    <row r="127" spans="2:13" x14ac:dyDescent="0.25">
      <c r="B127" s="770"/>
      <c r="C127" s="647"/>
      <c r="D127" s="647"/>
      <c r="E127" s="647"/>
      <c r="F127" s="647"/>
      <c r="G127" s="647"/>
      <c r="H127" s="647"/>
      <c r="I127" s="647"/>
      <c r="J127" s="647"/>
      <c r="K127" s="647"/>
      <c r="L127" s="771"/>
      <c r="M127" s="10"/>
    </row>
    <row r="128" spans="2:13" x14ac:dyDescent="0.25">
      <c r="B128" s="747" t="str">
        <f>D$26</f>
        <v>tonnes</v>
      </c>
      <c r="C128" s="748"/>
      <c r="D128" s="748"/>
      <c r="E128" s="137"/>
      <c r="F128" s="137"/>
      <c r="G128" s="137"/>
      <c r="H128" s="137"/>
      <c r="I128" s="137"/>
      <c r="J128" s="137"/>
      <c r="K128" s="137"/>
      <c r="L128" s="138"/>
      <c r="M128" s="10"/>
    </row>
    <row r="129" spans="2:13" x14ac:dyDescent="0.25">
      <c r="B129" s="747" t="str">
        <f>D$27</f>
        <v>valeur d'achat nette rendue (CAD)</v>
      </c>
      <c r="C129" s="748"/>
      <c r="D129" s="748"/>
      <c r="E129" s="137"/>
      <c r="F129" s="137"/>
      <c r="G129" s="137"/>
      <c r="H129" s="137"/>
      <c r="I129" s="137"/>
      <c r="J129" s="137"/>
      <c r="K129" s="137"/>
      <c r="L129" s="138"/>
      <c r="M129" s="10"/>
    </row>
    <row r="130" spans="2:13" x14ac:dyDescent="0.25">
      <c r="B130" s="747" t="str">
        <f>D$28</f>
        <v>$ / tonne</v>
      </c>
      <c r="C130" s="748"/>
      <c r="D130" s="748"/>
      <c r="E130" s="151" t="str">
        <f t="shared" ref="E130:L130" si="19">IF(E128=0,"-",E129/E128)</f>
        <v>-</v>
      </c>
      <c r="F130" s="151" t="str">
        <f t="shared" si="19"/>
        <v>-</v>
      </c>
      <c r="G130" s="151" t="str">
        <f t="shared" si="19"/>
        <v>-</v>
      </c>
      <c r="H130" s="151" t="str">
        <f t="shared" si="19"/>
        <v>-</v>
      </c>
      <c r="I130" s="151" t="str">
        <f t="shared" si="19"/>
        <v>-</v>
      </c>
      <c r="J130" s="151" t="str">
        <f t="shared" si="19"/>
        <v>-</v>
      </c>
      <c r="K130" s="151" t="str">
        <f t="shared" si="19"/>
        <v>-</v>
      </c>
      <c r="L130" s="152" t="str">
        <f t="shared" si="19"/>
        <v>-</v>
      </c>
      <c r="M130" s="10"/>
    </row>
    <row r="131" spans="2:13" x14ac:dyDescent="0.25">
      <c r="B131" s="768" t="str">
        <f>IF(Intro!$G$20="English",Variables!B37,Variables!C37)</f>
        <v>Tubage soudé P110 (y compris les améliorations) avec raccord de qualité semi-supérieure</v>
      </c>
      <c r="C131" s="641"/>
      <c r="D131" s="641"/>
      <c r="E131" s="641"/>
      <c r="F131" s="641"/>
      <c r="G131" s="641"/>
      <c r="H131" s="641"/>
      <c r="I131" s="641"/>
      <c r="J131" s="641"/>
      <c r="K131" s="641"/>
      <c r="L131" s="769"/>
      <c r="M131" s="10"/>
    </row>
    <row r="132" spans="2:13" x14ac:dyDescent="0.25">
      <c r="B132" s="770"/>
      <c r="C132" s="647"/>
      <c r="D132" s="647"/>
      <c r="E132" s="647"/>
      <c r="F132" s="647"/>
      <c r="G132" s="647"/>
      <c r="H132" s="647"/>
      <c r="I132" s="647"/>
      <c r="J132" s="647"/>
      <c r="K132" s="647"/>
      <c r="L132" s="771"/>
      <c r="M132" s="10"/>
    </row>
    <row r="133" spans="2:13" x14ac:dyDescent="0.25">
      <c r="B133" s="747" t="str">
        <f>D$26</f>
        <v>tonnes</v>
      </c>
      <c r="C133" s="748"/>
      <c r="D133" s="748"/>
      <c r="E133" s="137"/>
      <c r="F133" s="137"/>
      <c r="G133" s="137"/>
      <c r="H133" s="137"/>
      <c r="I133" s="137"/>
      <c r="J133" s="137"/>
      <c r="K133" s="137"/>
      <c r="L133" s="138"/>
      <c r="M133" s="10"/>
    </row>
    <row r="134" spans="2:13" x14ac:dyDescent="0.25">
      <c r="B134" s="747" t="str">
        <f>D$27</f>
        <v>valeur d'achat nette rendue (CAD)</v>
      </c>
      <c r="C134" s="748"/>
      <c r="D134" s="748"/>
      <c r="E134" s="137"/>
      <c r="F134" s="137"/>
      <c r="G134" s="137"/>
      <c r="H134" s="137"/>
      <c r="I134" s="137"/>
      <c r="J134" s="137"/>
      <c r="K134" s="137"/>
      <c r="L134" s="138"/>
      <c r="M134" s="10"/>
    </row>
    <row r="135" spans="2:13" x14ac:dyDescent="0.25">
      <c r="B135" s="747" t="str">
        <f>D$28</f>
        <v>$ / tonne</v>
      </c>
      <c r="C135" s="748"/>
      <c r="D135" s="748"/>
      <c r="E135" s="151" t="str">
        <f t="shared" ref="E135:L135" si="20">IF(E133=0,"-",E134/E133)</f>
        <v>-</v>
      </c>
      <c r="F135" s="151" t="str">
        <f t="shared" si="20"/>
        <v>-</v>
      </c>
      <c r="G135" s="151" t="str">
        <f t="shared" si="20"/>
        <v>-</v>
      </c>
      <c r="H135" s="151" t="str">
        <f t="shared" si="20"/>
        <v>-</v>
      </c>
      <c r="I135" s="151" t="str">
        <f t="shared" si="20"/>
        <v>-</v>
      </c>
      <c r="J135" s="151" t="str">
        <f t="shared" si="20"/>
        <v>-</v>
      </c>
      <c r="K135" s="151" t="str">
        <f t="shared" si="20"/>
        <v>-</v>
      </c>
      <c r="L135" s="152" t="str">
        <f t="shared" si="20"/>
        <v>-</v>
      </c>
      <c r="M135" s="10"/>
    </row>
    <row r="136" spans="2:13" x14ac:dyDescent="0.25">
      <c r="B136" s="768" t="str">
        <f>IF(Intro!$G$20="English",Variables!B38,Variables!C38)</f>
        <v>Tubage sans soudure T95 (y compris les améliorations) avec raccord semi-supérieure</v>
      </c>
      <c r="C136" s="641"/>
      <c r="D136" s="641"/>
      <c r="E136" s="641"/>
      <c r="F136" s="641"/>
      <c r="G136" s="641"/>
      <c r="H136" s="641"/>
      <c r="I136" s="641"/>
      <c r="J136" s="641"/>
      <c r="K136" s="641"/>
      <c r="L136" s="769"/>
      <c r="M136" s="10"/>
    </row>
    <row r="137" spans="2:13" x14ac:dyDescent="0.25">
      <c r="B137" s="770"/>
      <c r="C137" s="647"/>
      <c r="D137" s="647"/>
      <c r="E137" s="647"/>
      <c r="F137" s="647"/>
      <c r="G137" s="647"/>
      <c r="H137" s="647"/>
      <c r="I137" s="647"/>
      <c r="J137" s="647"/>
      <c r="K137" s="647"/>
      <c r="L137" s="771"/>
      <c r="M137" s="10"/>
    </row>
    <row r="138" spans="2:13" x14ac:dyDescent="0.25">
      <c r="B138" s="747" t="str">
        <f>D$26</f>
        <v>tonnes</v>
      </c>
      <c r="C138" s="748"/>
      <c r="D138" s="748"/>
      <c r="E138" s="137"/>
      <c r="F138" s="137"/>
      <c r="G138" s="137"/>
      <c r="H138" s="137"/>
      <c r="I138" s="137"/>
      <c r="J138" s="137"/>
      <c r="K138" s="137"/>
      <c r="L138" s="138"/>
      <c r="M138" s="10"/>
    </row>
    <row r="139" spans="2:13" x14ac:dyDescent="0.25">
      <c r="B139" s="747" t="str">
        <f>D$27</f>
        <v>valeur d'achat nette rendue (CAD)</v>
      </c>
      <c r="C139" s="748"/>
      <c r="D139" s="748"/>
      <c r="E139" s="137"/>
      <c r="F139" s="137"/>
      <c r="G139" s="137"/>
      <c r="H139" s="137"/>
      <c r="I139" s="137"/>
      <c r="J139" s="137"/>
      <c r="K139" s="137"/>
      <c r="L139" s="138"/>
      <c r="M139" s="10"/>
    </row>
    <row r="140" spans="2:13" x14ac:dyDescent="0.25">
      <c r="B140" s="747" t="str">
        <f>D$28</f>
        <v>$ / tonne</v>
      </c>
      <c r="C140" s="748"/>
      <c r="D140" s="748"/>
      <c r="E140" s="151" t="str">
        <f t="shared" ref="E140:L140" si="21">IF(E138=0,"-",E139/E138)</f>
        <v>-</v>
      </c>
      <c r="F140" s="151" t="str">
        <f t="shared" si="21"/>
        <v>-</v>
      </c>
      <c r="G140" s="151" t="str">
        <f t="shared" si="21"/>
        <v>-</v>
      </c>
      <c r="H140" s="151" t="str">
        <f t="shared" si="21"/>
        <v>-</v>
      </c>
      <c r="I140" s="151" t="str">
        <f t="shared" si="21"/>
        <v>-</v>
      </c>
      <c r="J140" s="151" t="str">
        <f t="shared" si="21"/>
        <v>-</v>
      </c>
      <c r="K140" s="151" t="str">
        <f t="shared" si="21"/>
        <v>-</v>
      </c>
      <c r="L140" s="152" t="str">
        <f t="shared" si="21"/>
        <v>-</v>
      </c>
      <c r="M140" s="10"/>
    </row>
    <row r="141" spans="2:13" x14ac:dyDescent="0.25">
      <c r="B141" s="768" t="str">
        <f>IF(Intro!$G$20="English",Variables!B39,Variables!C39)</f>
        <v>Tubage sans soudure P110S (y compris les améliorations) ou nuance similaire pour milieux modérément acides avec raccord de qualité semi-supérieure</v>
      </c>
      <c r="C141" s="641"/>
      <c r="D141" s="641"/>
      <c r="E141" s="641"/>
      <c r="F141" s="641"/>
      <c r="G141" s="641"/>
      <c r="H141" s="641"/>
      <c r="I141" s="641"/>
      <c r="J141" s="641"/>
      <c r="K141" s="641"/>
      <c r="L141" s="769"/>
      <c r="M141" s="10"/>
    </row>
    <row r="142" spans="2:13" x14ac:dyDescent="0.25">
      <c r="B142" s="770"/>
      <c r="C142" s="647"/>
      <c r="D142" s="647"/>
      <c r="E142" s="647"/>
      <c r="F142" s="647"/>
      <c r="G142" s="647"/>
      <c r="H142" s="647"/>
      <c r="I142" s="647"/>
      <c r="J142" s="647"/>
      <c r="K142" s="647"/>
      <c r="L142" s="771"/>
      <c r="M142" s="10"/>
    </row>
    <row r="143" spans="2:13" x14ac:dyDescent="0.25">
      <c r="B143" s="747" t="str">
        <f>D$26</f>
        <v>tonnes</v>
      </c>
      <c r="C143" s="748"/>
      <c r="D143" s="748"/>
      <c r="E143" s="137"/>
      <c r="F143" s="137"/>
      <c r="G143" s="137"/>
      <c r="H143" s="137"/>
      <c r="I143" s="137"/>
      <c r="J143" s="137"/>
      <c r="K143" s="137"/>
      <c r="L143" s="138"/>
      <c r="M143" s="10"/>
    </row>
    <row r="144" spans="2:13" x14ac:dyDescent="0.25">
      <c r="B144" s="747" t="str">
        <f>D$27</f>
        <v>valeur d'achat nette rendue (CAD)</v>
      </c>
      <c r="C144" s="748"/>
      <c r="D144" s="748"/>
      <c r="E144" s="137"/>
      <c r="F144" s="137"/>
      <c r="G144" s="137"/>
      <c r="H144" s="137"/>
      <c r="I144" s="137"/>
      <c r="J144" s="137"/>
      <c r="K144" s="137"/>
      <c r="L144" s="138"/>
      <c r="M144" s="10"/>
    </row>
    <row r="145" spans="1:19" x14ac:dyDescent="0.25">
      <c r="B145" s="747" t="str">
        <f>D$28</f>
        <v>$ / tonne</v>
      </c>
      <c r="C145" s="748"/>
      <c r="D145" s="748"/>
      <c r="E145" s="151" t="str">
        <f t="shared" ref="E145:L145" si="22">IF(E143=0,"-",E144/E143)</f>
        <v>-</v>
      </c>
      <c r="F145" s="151" t="str">
        <f t="shared" si="22"/>
        <v>-</v>
      </c>
      <c r="G145" s="151" t="str">
        <f t="shared" si="22"/>
        <v>-</v>
      </c>
      <c r="H145" s="151" t="str">
        <f t="shared" si="22"/>
        <v>-</v>
      </c>
      <c r="I145" s="151" t="str">
        <f t="shared" si="22"/>
        <v>-</v>
      </c>
      <c r="J145" s="151" t="str">
        <f t="shared" si="22"/>
        <v>-</v>
      </c>
      <c r="K145" s="151" t="str">
        <f t="shared" si="22"/>
        <v>-</v>
      </c>
      <c r="L145" s="152" t="str">
        <f t="shared" si="22"/>
        <v>-</v>
      </c>
      <c r="M145" s="10"/>
    </row>
    <row r="146" spans="1:19" x14ac:dyDescent="0.25">
      <c r="B146" s="260"/>
      <c r="C146" s="261"/>
      <c r="D146" s="261"/>
      <c r="E146" s="29"/>
      <c r="F146" s="29"/>
      <c r="G146" s="29"/>
      <c r="H146" s="29"/>
      <c r="I146" s="29"/>
      <c r="J146" s="29"/>
      <c r="K146" s="29"/>
      <c r="L146" s="30"/>
      <c r="M146" s="10"/>
    </row>
    <row r="147" spans="1:19" x14ac:dyDescent="0.25">
      <c r="B147" s="530" t="str">
        <f>IF(Intro!$G$20="English",O147,P147)</f>
        <v>Dans le tableau ci-dessous, « Erreur » signifie que les importations totales des produits de référence de votre entreprise dépassent les importations totales de votre entreprise pour cette période. Par conséquent, veuillez modifier les données ci-dessus si nécessaire.</v>
      </c>
      <c r="C147" s="531"/>
      <c r="D147" s="531"/>
      <c r="E147" s="531"/>
      <c r="F147" s="531"/>
      <c r="G147" s="531"/>
      <c r="H147" s="531"/>
      <c r="I147" s="531"/>
      <c r="J147" s="531"/>
      <c r="K147" s="531"/>
      <c r="L147" s="532"/>
      <c r="M147" s="10"/>
      <c r="O147" s="10" t="s">
        <v>361</v>
      </c>
      <c r="P147" s="10" t="s">
        <v>362</v>
      </c>
      <c r="S147" s="38"/>
    </row>
    <row r="148" spans="1:19" x14ac:dyDescent="0.25">
      <c r="B148" s="530"/>
      <c r="C148" s="531"/>
      <c r="D148" s="531"/>
      <c r="E148" s="531"/>
      <c r="F148" s="531"/>
      <c r="G148" s="531"/>
      <c r="H148" s="531"/>
      <c r="I148" s="531"/>
      <c r="J148" s="531"/>
      <c r="K148" s="531"/>
      <c r="L148" s="532"/>
      <c r="M148" s="10"/>
      <c r="S148" s="38"/>
    </row>
    <row r="149" spans="1:19" x14ac:dyDescent="0.25">
      <c r="B149" s="247"/>
      <c r="C149" s="248"/>
      <c r="D149" s="248"/>
      <c r="E149" s="29"/>
      <c r="F149" s="29"/>
      <c r="G149" s="29"/>
      <c r="H149" s="29"/>
      <c r="I149" s="29"/>
      <c r="J149" s="29"/>
      <c r="K149" s="29"/>
      <c r="L149" s="30"/>
      <c r="M149" s="10"/>
      <c r="S149" s="38"/>
    </row>
    <row r="150" spans="1:19" ht="14.1" customHeight="1" x14ac:dyDescent="0.25">
      <c r="B150" s="760" t="str">
        <f>Variables!D66</f>
        <v>Vérification - volume</v>
      </c>
      <c r="C150" s="761"/>
      <c r="D150" s="761"/>
      <c r="E150" s="761"/>
      <c r="F150" s="762"/>
      <c r="G150" s="251">
        <f>G80</f>
        <v>2024</v>
      </c>
      <c r="H150" s="251">
        <f>H80</f>
        <v>2025</v>
      </c>
      <c r="I150" s="251" t="str">
        <f>I80</f>
        <v>janv.-mars 2025</v>
      </c>
      <c r="J150" s="251" t="str">
        <f>J80</f>
        <v>janv.-mars 2026</v>
      </c>
      <c r="K150" s="225"/>
      <c r="L150" s="226"/>
      <c r="M150" s="10"/>
    </row>
    <row r="151" spans="1:19" ht="14.1" customHeight="1" x14ac:dyDescent="0.25">
      <c r="B151" s="789" t="str">
        <f>B98</f>
        <v>tonnes</v>
      </c>
      <c r="C151" s="790"/>
      <c r="D151" s="790"/>
      <c r="E151" s="790"/>
      <c r="F151" s="791"/>
      <c r="G151" s="187" t="str">
        <f>IF(SUM(E98:G98,E103:G103,E108:G108,E113:G113,E118:G118,E123:G123,E128:G128,E133:G133,E138:G138,E143:G143)&gt;H26,Variables!$D$67,Variables!$D$68)</f>
        <v>Correct</v>
      </c>
      <c r="H151" s="187" t="str">
        <f>IF(SUM(H98:K98,H103:K103,H108:K108,H113:K113,H118:K118,H123:K123,H128:K128,H133:K133,H138:K138,H143:K143)&gt;I26,Variables!$D$67,Variables!$D$68)</f>
        <v>Correct</v>
      </c>
      <c r="I151" s="187" t="str">
        <f>IF(SUM(H98,H103,H108,H113,H118,H123,H128,H133,H138,H143)&gt;J26,Variables!$D$67,Variables!$D$68)</f>
        <v>Correct</v>
      </c>
      <c r="J151" s="187" t="str">
        <f>IF(SUM(L98,L103,L108,L113,L118,L123,L128,L133,L138,L143)&gt;K26,Variables!$D$67,Variables!$D$68)</f>
        <v>Correct</v>
      </c>
      <c r="K151" s="225"/>
      <c r="L151" s="226"/>
      <c r="M151" s="10"/>
    </row>
    <row r="152" spans="1:19" ht="14.1" customHeight="1" x14ac:dyDescent="0.25">
      <c r="B152" s="763" t="str">
        <f>IF(Intro!$G$20="English",O152,P152)</f>
        <v>volume - total des importations des produits de référence (Question 3)</v>
      </c>
      <c r="C152" s="764"/>
      <c r="D152" s="764"/>
      <c r="E152" s="764"/>
      <c r="F152" s="765"/>
      <c r="G152" s="187">
        <f>SUM(E98:G98,E103:G103,E108:G108,E113:G113,E118:G118,E123:G123,E128:G128,E133:G133,E138:G138,E143:G143)</f>
        <v>0</v>
      </c>
      <c r="H152" s="187">
        <f>SUM(H98:K98,H103:K103,H108:K108,H113:K113,H118:K118,H123:K123,H128:K128,H133:K133,H138:K138,H143:K143)</f>
        <v>0</v>
      </c>
      <c r="I152" s="187">
        <f>SUM(H98,H103,H108,H113,H118,H123,H128,H133,H138,H143)</f>
        <v>0</v>
      </c>
      <c r="J152" s="187">
        <f>SUM(L98,L103,L108,L113,L118,L123,L128,L133,L138,L143)</f>
        <v>0</v>
      </c>
      <c r="K152" s="225"/>
      <c r="L152" s="226"/>
      <c r="M152" s="10"/>
      <c r="O152" s="10" t="s">
        <v>431</v>
      </c>
      <c r="P152" s="10" t="s">
        <v>432</v>
      </c>
    </row>
    <row r="153" spans="1:19" ht="14.1" customHeight="1" x14ac:dyDescent="0.25">
      <c r="B153" s="763" t="str">
        <f>IF(Intro!$G$20="English",O153,P153)</f>
        <v>volume - total des importations (Question 1)</v>
      </c>
      <c r="C153" s="764"/>
      <c r="D153" s="764"/>
      <c r="E153" s="764"/>
      <c r="F153" s="765"/>
      <c r="G153" s="187">
        <f>H26</f>
        <v>0</v>
      </c>
      <c r="H153" s="187">
        <f>I26</f>
        <v>0</v>
      </c>
      <c r="I153" s="187">
        <f>J26</f>
        <v>0</v>
      </c>
      <c r="J153" s="187">
        <f>K26</f>
        <v>0</v>
      </c>
      <c r="K153" s="225"/>
      <c r="L153" s="226"/>
      <c r="M153" s="10"/>
      <c r="O153" s="10" t="s">
        <v>433</v>
      </c>
      <c r="P153" s="10" t="s">
        <v>434</v>
      </c>
    </row>
    <row r="154" spans="1:19" x14ac:dyDescent="0.25">
      <c r="B154" s="760" t="str">
        <f>Variables!D70</f>
        <v>Vérification - valeur</v>
      </c>
      <c r="C154" s="761"/>
      <c r="D154" s="761"/>
      <c r="E154" s="761"/>
      <c r="F154" s="762"/>
      <c r="G154" s="251">
        <f>G150</f>
        <v>2024</v>
      </c>
      <c r="H154" s="251">
        <f>H150</f>
        <v>2025</v>
      </c>
      <c r="I154" s="251" t="str">
        <f>I150</f>
        <v>janv.-mars 2025</v>
      </c>
      <c r="J154" s="251" t="str">
        <f>J150</f>
        <v>janv.-mars 2026</v>
      </c>
      <c r="K154" s="225"/>
      <c r="L154" s="226"/>
      <c r="M154" s="10"/>
    </row>
    <row r="155" spans="1:19" ht="14.1" customHeight="1" x14ac:dyDescent="0.25">
      <c r="B155" s="789" t="str">
        <f>B99</f>
        <v>valeur d'achat nette rendue (CAD)</v>
      </c>
      <c r="C155" s="790"/>
      <c r="D155" s="790"/>
      <c r="E155" s="790"/>
      <c r="F155" s="791"/>
      <c r="G155" s="187" t="str">
        <f>IF(SUM(E99:G99,E104:G104,E109:G109,E114:G114,E119:G119,E124:G124,E129:G129,E134:G134,E139:G139,E144:G144)&gt;H27,Variables!$D$67,Variables!$D$68)</f>
        <v>Correct</v>
      </c>
      <c r="H155" s="187" t="str">
        <f>IF(SUM(H99:K99,H104:K104,H109:K109,H114:K114,H119:K119,H124:K124,H129:K129,H134:K134,H139:K139,H144:K144)&gt;I27,Variables!$D$67,Variables!$D$68)</f>
        <v>Correct</v>
      </c>
      <c r="I155" s="187" t="str">
        <f>IF(SUM(H99,H104,H109,H114,H119,H124,H129,H134,H139,H144)&gt;J27,Variables!$D$67,Variables!$D$68)</f>
        <v>Correct</v>
      </c>
      <c r="J155" s="187" t="str">
        <f>IF(SUM(L99,L104,L109,L114,L119,L124,L129,L134,L139,L144)&gt;K27,Variables!$D$67,Variables!$D$68)</f>
        <v>Correct</v>
      </c>
      <c r="K155" s="225"/>
      <c r="L155" s="226"/>
      <c r="M155" s="10"/>
    </row>
    <row r="156" spans="1:19" ht="14.1" customHeight="1" x14ac:dyDescent="0.25">
      <c r="B156" s="763" t="str">
        <f>IF(Intro!$G$20="English",O156,P156)</f>
        <v>valeur - total des importations des produits de référence (Question 3)</v>
      </c>
      <c r="C156" s="764"/>
      <c r="D156" s="764"/>
      <c r="E156" s="764"/>
      <c r="F156" s="765"/>
      <c r="G156" s="187">
        <f>SUM(E99:G99,E104:G104,E109:G109,E114:G114,E119:G119,E124:G124,E129:G129,E134:G134,E139:G139,E144:G144)</f>
        <v>0</v>
      </c>
      <c r="H156" s="187">
        <f>SUM(H99:K99,H104:K104,H109:K109,H114:K114,H119:K119,H124:K124,H129:K129,H134:K134,H139:K139,H144:K144)</f>
        <v>0</v>
      </c>
      <c r="I156" s="187">
        <f>SUM(H99,H104,H109,H114,H119,H124,H129,H134,H139,H144)</f>
        <v>0</v>
      </c>
      <c r="J156" s="187">
        <f>SUM(L99,L104,L109,L114,L119,L124,L129,L134,L139,L144)</f>
        <v>0</v>
      </c>
      <c r="K156" s="225"/>
      <c r="L156" s="226"/>
      <c r="M156" s="10"/>
      <c r="O156" s="10" t="s">
        <v>435</v>
      </c>
      <c r="P156" s="10" t="s">
        <v>436</v>
      </c>
    </row>
    <row r="157" spans="1:19" ht="14.1" customHeight="1" x14ac:dyDescent="0.25">
      <c r="B157" s="763" t="str">
        <f>IF(Intro!$G$20="English",O157,P157)</f>
        <v>valeur - total des importations (Question 1)</v>
      </c>
      <c r="C157" s="764"/>
      <c r="D157" s="764"/>
      <c r="E157" s="764"/>
      <c r="F157" s="765"/>
      <c r="G157" s="187">
        <f>H27</f>
        <v>0</v>
      </c>
      <c r="H157" s="187">
        <f>I27</f>
        <v>0</v>
      </c>
      <c r="I157" s="187">
        <f>J27</f>
        <v>0</v>
      </c>
      <c r="J157" s="187">
        <f>K27</f>
        <v>0</v>
      </c>
      <c r="K157" s="225"/>
      <c r="L157" s="226"/>
      <c r="M157" s="10"/>
      <c r="O157" s="10" t="s">
        <v>437</v>
      </c>
      <c r="P157" s="10" t="s">
        <v>438</v>
      </c>
    </row>
    <row r="158" spans="1:19" x14ac:dyDescent="0.25">
      <c r="B158" s="72"/>
      <c r="C158" s="82"/>
      <c r="D158" s="82"/>
      <c r="E158" s="82"/>
      <c r="F158" s="82"/>
      <c r="G158" s="82"/>
      <c r="H158" s="82"/>
      <c r="I158" s="82"/>
      <c r="J158" s="82"/>
      <c r="K158" s="82"/>
      <c r="L158" s="83"/>
      <c r="M158" s="10"/>
    </row>
    <row r="159" spans="1:19" s="207" customFormat="1" x14ac:dyDescent="0.25">
      <c r="A159" s="7"/>
      <c r="B159" s="91"/>
      <c r="C159" s="91"/>
      <c r="D159" s="89"/>
      <c r="E159" s="250"/>
      <c r="F159" s="250"/>
      <c r="G159" s="250"/>
      <c r="H159" s="250"/>
      <c r="I159" s="250"/>
      <c r="J159" s="250"/>
      <c r="K159" s="250"/>
      <c r="L159" s="250"/>
      <c r="M159" s="73"/>
    </row>
    <row r="160" spans="1:19" x14ac:dyDescent="0.25">
      <c r="B160" s="533" t="str">
        <f>IF(Intro!$G$20="English",O160,P160)</f>
        <v>VENTES AU CANADA D'IMPORTATIONS DE PRODUITS DE RÉFÉRENCE</v>
      </c>
      <c r="C160" s="534"/>
      <c r="D160" s="534"/>
      <c r="E160" s="534"/>
      <c r="F160" s="534"/>
      <c r="G160" s="534"/>
      <c r="H160" s="534"/>
      <c r="I160" s="534"/>
      <c r="J160" s="534"/>
      <c r="K160" s="534"/>
      <c r="L160" s="535"/>
      <c r="M160" s="10"/>
      <c r="O160" s="105" t="s">
        <v>336</v>
      </c>
      <c r="P160" s="105" t="s">
        <v>400</v>
      </c>
    </row>
    <row r="161" spans="2:16" x14ac:dyDescent="0.25">
      <c r="B161" s="671" t="s">
        <v>17</v>
      </c>
      <c r="C161" s="672"/>
      <c r="D161" s="672"/>
      <c r="E161" s="672"/>
      <c r="F161" s="672"/>
      <c r="G161" s="672"/>
      <c r="H161" s="672"/>
      <c r="I161" s="672"/>
      <c r="J161" s="672"/>
      <c r="K161" s="672"/>
      <c r="L161" s="673"/>
      <c r="M161" s="10"/>
    </row>
    <row r="162" spans="2:16" x14ac:dyDescent="0.25">
      <c r="B162" s="16"/>
      <c r="C162" s="35"/>
      <c r="D162" s="35"/>
      <c r="E162" s="36"/>
      <c r="F162" s="36"/>
      <c r="G162" s="36"/>
      <c r="H162" s="36"/>
      <c r="I162" s="36"/>
      <c r="J162" s="36"/>
      <c r="K162" s="36"/>
      <c r="L162" s="17"/>
      <c r="M162" s="10"/>
    </row>
    <row r="163" spans="2:16" x14ac:dyDescent="0.25">
      <c r="B163" s="530" t="str">
        <f>IF(Intro!$G$20="English",O163,P163)</f>
        <v>Indiquez le volume et la valeur des ventes d'importations au Canada pour chaque produit de référence :</v>
      </c>
      <c r="C163" s="531"/>
      <c r="D163" s="531"/>
      <c r="E163" s="531"/>
      <c r="F163" s="531"/>
      <c r="G163" s="531"/>
      <c r="H163" s="531"/>
      <c r="I163" s="531"/>
      <c r="J163" s="531"/>
      <c r="K163" s="531"/>
      <c r="L163" s="532"/>
      <c r="M163" s="10"/>
      <c r="O163" s="18" t="s">
        <v>171</v>
      </c>
      <c r="P163" s="10" t="s">
        <v>399</v>
      </c>
    </row>
    <row r="164" spans="2:16" x14ac:dyDescent="0.25">
      <c r="B164" s="530" t="str">
        <f>Pro!B22</f>
        <v>Note - Ne répondez à cette question que si votre entreprise a vendu les marchandises du 1er janvier 2023 au 31 mars 2026.</v>
      </c>
      <c r="C164" s="531"/>
      <c r="D164" s="531"/>
      <c r="E164" s="531"/>
      <c r="F164" s="531"/>
      <c r="G164" s="531"/>
      <c r="H164" s="531"/>
      <c r="I164" s="531"/>
      <c r="J164" s="531"/>
      <c r="K164" s="531"/>
      <c r="L164" s="532"/>
      <c r="M164" s="10"/>
      <c r="O164" s="18"/>
    </row>
    <row r="165" spans="2:16" x14ac:dyDescent="0.25">
      <c r="B165" s="247"/>
      <c r="C165" s="248"/>
      <c r="D165" s="35"/>
      <c r="E165" s="36"/>
      <c r="F165" s="36"/>
      <c r="G165" s="36"/>
      <c r="H165" s="36"/>
      <c r="I165" s="36"/>
      <c r="J165" s="36"/>
      <c r="K165" s="36"/>
      <c r="L165" s="17"/>
      <c r="M165" s="10"/>
      <c r="O165" s="18"/>
    </row>
    <row r="166" spans="2:16" x14ac:dyDescent="0.25">
      <c r="B166" s="772"/>
      <c r="C166" s="773"/>
      <c r="D166" s="774"/>
      <c r="E166" s="251" t="str">
        <f t="shared" ref="E166:L166" si="23">E95</f>
        <v>T2 - 2024</v>
      </c>
      <c r="F166" s="251" t="str">
        <f t="shared" si="23"/>
        <v>T3 - 2024</v>
      </c>
      <c r="G166" s="251" t="str">
        <f t="shared" si="23"/>
        <v>T4 - 2024</v>
      </c>
      <c r="H166" s="251" t="str">
        <f t="shared" si="23"/>
        <v>T1 - 2025</v>
      </c>
      <c r="I166" s="251" t="str">
        <f t="shared" si="23"/>
        <v>T2 - 2025</v>
      </c>
      <c r="J166" s="251" t="str">
        <f t="shared" si="23"/>
        <v>T3 - 2025</v>
      </c>
      <c r="K166" s="251" t="str">
        <f t="shared" si="23"/>
        <v>T4 - 2025</v>
      </c>
      <c r="L166" s="252" t="str">
        <f t="shared" si="23"/>
        <v>T1 - 2026</v>
      </c>
      <c r="M166" s="10"/>
      <c r="O166" s="18"/>
    </row>
    <row r="167" spans="2:16" x14ac:dyDescent="0.25">
      <c r="B167" s="768" t="str">
        <f>B96</f>
        <v xml:space="preserve">Tubage sans soudure L80 (y compris les améliorations) avec raccord API </v>
      </c>
      <c r="C167" s="641"/>
      <c r="D167" s="641"/>
      <c r="E167" s="641"/>
      <c r="F167" s="641"/>
      <c r="G167" s="641"/>
      <c r="H167" s="641"/>
      <c r="I167" s="641"/>
      <c r="J167" s="641"/>
      <c r="K167" s="641"/>
      <c r="L167" s="769"/>
      <c r="M167" s="10"/>
    </row>
    <row r="168" spans="2:16" x14ac:dyDescent="0.25">
      <c r="B168" s="770"/>
      <c r="C168" s="647"/>
      <c r="D168" s="647"/>
      <c r="E168" s="647"/>
      <c r="F168" s="647"/>
      <c r="G168" s="647"/>
      <c r="H168" s="647"/>
      <c r="I168" s="647"/>
      <c r="J168" s="647"/>
      <c r="K168" s="647"/>
      <c r="L168" s="771"/>
      <c r="M168" s="10"/>
    </row>
    <row r="169" spans="2:16" x14ac:dyDescent="0.25">
      <c r="B169" s="747" t="str">
        <f>D$31</f>
        <v>tonnes</v>
      </c>
      <c r="C169" s="748"/>
      <c r="D169" s="748"/>
      <c r="E169" s="137"/>
      <c r="F169" s="137"/>
      <c r="G169" s="137"/>
      <c r="H169" s="137"/>
      <c r="I169" s="137"/>
      <c r="J169" s="137"/>
      <c r="K169" s="137"/>
      <c r="L169" s="138"/>
      <c r="M169" s="10"/>
    </row>
    <row r="170" spans="2:16" x14ac:dyDescent="0.25">
      <c r="B170" s="747" t="str">
        <f>D$32</f>
        <v>valeur de vente nette rendue (CAD)</v>
      </c>
      <c r="C170" s="748"/>
      <c r="D170" s="748"/>
      <c r="E170" s="137"/>
      <c r="F170" s="137"/>
      <c r="G170" s="137"/>
      <c r="H170" s="137"/>
      <c r="I170" s="137"/>
      <c r="J170" s="137"/>
      <c r="K170" s="137"/>
      <c r="L170" s="138"/>
      <c r="M170" s="10"/>
    </row>
    <row r="171" spans="2:16" x14ac:dyDescent="0.25">
      <c r="B171" s="747" t="str">
        <f>D$33</f>
        <v>$ / tonne</v>
      </c>
      <c r="C171" s="748"/>
      <c r="D171" s="748"/>
      <c r="E171" s="151" t="str">
        <f t="shared" ref="E171:L171" si="24">IF(E169=0,"-",E170/E169)</f>
        <v>-</v>
      </c>
      <c r="F171" s="151" t="str">
        <f t="shared" si="24"/>
        <v>-</v>
      </c>
      <c r="G171" s="151" t="str">
        <f t="shared" si="24"/>
        <v>-</v>
      </c>
      <c r="H171" s="151" t="str">
        <f t="shared" si="24"/>
        <v>-</v>
      </c>
      <c r="I171" s="151" t="str">
        <f t="shared" si="24"/>
        <v>-</v>
      </c>
      <c r="J171" s="151" t="str">
        <f t="shared" si="24"/>
        <v>-</v>
      </c>
      <c r="K171" s="151" t="str">
        <f t="shared" si="24"/>
        <v>-</v>
      </c>
      <c r="L171" s="152" t="str">
        <f t="shared" si="24"/>
        <v>-</v>
      </c>
      <c r="M171" s="10"/>
    </row>
    <row r="172" spans="2:16" x14ac:dyDescent="0.25">
      <c r="B172" s="768" t="str">
        <f>B101</f>
        <v>Tubage soudé L80 (y compris les améliorations) avec raccord API</v>
      </c>
      <c r="C172" s="641"/>
      <c r="D172" s="641"/>
      <c r="E172" s="641"/>
      <c r="F172" s="641"/>
      <c r="G172" s="641"/>
      <c r="H172" s="641"/>
      <c r="I172" s="641"/>
      <c r="J172" s="641"/>
      <c r="K172" s="641"/>
      <c r="L172" s="769"/>
      <c r="M172" s="10"/>
    </row>
    <row r="173" spans="2:16" x14ac:dyDescent="0.25">
      <c r="B173" s="770"/>
      <c r="C173" s="647"/>
      <c r="D173" s="647"/>
      <c r="E173" s="647"/>
      <c r="F173" s="647"/>
      <c r="G173" s="647"/>
      <c r="H173" s="647"/>
      <c r="I173" s="647"/>
      <c r="J173" s="647"/>
      <c r="K173" s="647"/>
      <c r="L173" s="771"/>
      <c r="M173" s="10"/>
    </row>
    <row r="174" spans="2:16" x14ac:dyDescent="0.25">
      <c r="B174" s="747" t="str">
        <f>D$31</f>
        <v>tonnes</v>
      </c>
      <c r="C174" s="748"/>
      <c r="D174" s="748"/>
      <c r="E174" s="137"/>
      <c r="F174" s="137"/>
      <c r="G174" s="137"/>
      <c r="H174" s="137"/>
      <c r="I174" s="137"/>
      <c r="J174" s="137"/>
      <c r="K174" s="137"/>
      <c r="L174" s="138"/>
      <c r="M174" s="10"/>
    </row>
    <row r="175" spans="2:16" x14ac:dyDescent="0.25">
      <c r="B175" s="747" t="str">
        <f>D$32</f>
        <v>valeur de vente nette rendue (CAD)</v>
      </c>
      <c r="C175" s="748"/>
      <c r="D175" s="748"/>
      <c r="E175" s="137"/>
      <c r="F175" s="137"/>
      <c r="G175" s="137"/>
      <c r="H175" s="137"/>
      <c r="I175" s="137"/>
      <c r="J175" s="137"/>
      <c r="K175" s="137"/>
      <c r="L175" s="138"/>
      <c r="M175" s="10"/>
    </row>
    <row r="176" spans="2:16" x14ac:dyDescent="0.25">
      <c r="B176" s="747" t="str">
        <f>D$33</f>
        <v>$ / tonne</v>
      </c>
      <c r="C176" s="748"/>
      <c r="D176" s="748"/>
      <c r="E176" s="151" t="str">
        <f>IF(E174=0,"-",E175/E174)</f>
        <v>-</v>
      </c>
      <c r="F176" s="151" t="str">
        <f t="shared" ref="F176:L176" si="25">IF(F174=0,"-",F175/F174)</f>
        <v>-</v>
      </c>
      <c r="G176" s="151" t="str">
        <f t="shared" si="25"/>
        <v>-</v>
      </c>
      <c r="H176" s="151" t="str">
        <f t="shared" si="25"/>
        <v>-</v>
      </c>
      <c r="I176" s="151" t="str">
        <f t="shared" si="25"/>
        <v>-</v>
      </c>
      <c r="J176" s="151" t="str">
        <f t="shared" si="25"/>
        <v>-</v>
      </c>
      <c r="K176" s="151" t="str">
        <f t="shared" si="25"/>
        <v>-</v>
      </c>
      <c r="L176" s="152" t="str">
        <f t="shared" si="25"/>
        <v>-</v>
      </c>
      <c r="M176" s="10"/>
    </row>
    <row r="177" spans="2:13" x14ac:dyDescent="0.25">
      <c r="B177" s="768" t="str">
        <f>B106</f>
        <v xml:space="preserve">Tubage sans soudure L80 (y compris les améliorations) avec raccord de qualité semi-supérieure </v>
      </c>
      <c r="C177" s="641"/>
      <c r="D177" s="641"/>
      <c r="E177" s="641"/>
      <c r="F177" s="641"/>
      <c r="G177" s="641"/>
      <c r="H177" s="641"/>
      <c r="I177" s="641"/>
      <c r="J177" s="641"/>
      <c r="K177" s="641"/>
      <c r="L177" s="769"/>
      <c r="M177" s="10"/>
    </row>
    <row r="178" spans="2:13" x14ac:dyDescent="0.25">
      <c r="B178" s="770"/>
      <c r="C178" s="647"/>
      <c r="D178" s="647"/>
      <c r="E178" s="647"/>
      <c r="F178" s="647"/>
      <c r="G178" s="647"/>
      <c r="H178" s="647"/>
      <c r="I178" s="647"/>
      <c r="J178" s="647"/>
      <c r="K178" s="647"/>
      <c r="L178" s="771"/>
      <c r="M178" s="10"/>
    </row>
    <row r="179" spans="2:13" x14ac:dyDescent="0.25">
      <c r="B179" s="747" t="str">
        <f>D$31</f>
        <v>tonnes</v>
      </c>
      <c r="C179" s="748"/>
      <c r="D179" s="748"/>
      <c r="E179" s="137"/>
      <c r="F179" s="137"/>
      <c r="G179" s="137"/>
      <c r="H179" s="137"/>
      <c r="I179" s="137"/>
      <c r="J179" s="137"/>
      <c r="K179" s="137"/>
      <c r="L179" s="138"/>
      <c r="M179" s="10"/>
    </row>
    <row r="180" spans="2:13" x14ac:dyDescent="0.25">
      <c r="B180" s="747" t="str">
        <f>D$32</f>
        <v>valeur de vente nette rendue (CAD)</v>
      </c>
      <c r="C180" s="748"/>
      <c r="D180" s="748"/>
      <c r="E180" s="137"/>
      <c r="F180" s="137"/>
      <c r="G180" s="137"/>
      <c r="H180" s="137"/>
      <c r="I180" s="137"/>
      <c r="J180" s="137"/>
      <c r="K180" s="137"/>
      <c r="L180" s="138"/>
      <c r="M180" s="10"/>
    </row>
    <row r="181" spans="2:13" x14ac:dyDescent="0.25">
      <c r="B181" s="747" t="str">
        <f>D$33</f>
        <v>$ / tonne</v>
      </c>
      <c r="C181" s="748"/>
      <c r="D181" s="748"/>
      <c r="E181" s="151" t="str">
        <f>IF(E179=0,"-",E180/E179)</f>
        <v>-</v>
      </c>
      <c r="F181" s="151" t="str">
        <f t="shared" ref="F181:L181" si="26">IF(F179=0,"-",F180/F179)</f>
        <v>-</v>
      </c>
      <c r="G181" s="151" t="str">
        <f t="shared" si="26"/>
        <v>-</v>
      </c>
      <c r="H181" s="151" t="str">
        <f t="shared" si="26"/>
        <v>-</v>
      </c>
      <c r="I181" s="151" t="str">
        <f t="shared" si="26"/>
        <v>-</v>
      </c>
      <c r="J181" s="151" t="str">
        <f t="shared" si="26"/>
        <v>-</v>
      </c>
      <c r="K181" s="151" t="str">
        <f t="shared" si="26"/>
        <v>-</v>
      </c>
      <c r="L181" s="152" t="str">
        <f t="shared" si="26"/>
        <v>-</v>
      </c>
      <c r="M181" s="10"/>
    </row>
    <row r="182" spans="2:13" x14ac:dyDescent="0.25">
      <c r="B182" s="768" t="str">
        <f>B111</f>
        <v xml:space="preserve">Tubage soudé L80 (y compris les améliorations) avec raccord de qualité semi-supérieure </v>
      </c>
      <c r="C182" s="641"/>
      <c r="D182" s="641"/>
      <c r="E182" s="641"/>
      <c r="F182" s="641"/>
      <c r="G182" s="641"/>
      <c r="H182" s="641"/>
      <c r="I182" s="641"/>
      <c r="J182" s="641"/>
      <c r="K182" s="641"/>
      <c r="L182" s="769"/>
      <c r="M182" s="10"/>
    </row>
    <row r="183" spans="2:13" x14ac:dyDescent="0.25">
      <c r="B183" s="770"/>
      <c r="C183" s="647"/>
      <c r="D183" s="647"/>
      <c r="E183" s="647"/>
      <c r="F183" s="647"/>
      <c r="G183" s="647"/>
      <c r="H183" s="647"/>
      <c r="I183" s="647"/>
      <c r="J183" s="647"/>
      <c r="K183" s="647"/>
      <c r="L183" s="771"/>
      <c r="M183" s="10"/>
    </row>
    <row r="184" spans="2:13" x14ac:dyDescent="0.25">
      <c r="B184" s="747" t="str">
        <f>D$31</f>
        <v>tonnes</v>
      </c>
      <c r="C184" s="748"/>
      <c r="D184" s="748"/>
      <c r="E184" s="137"/>
      <c r="F184" s="137"/>
      <c r="G184" s="137"/>
      <c r="H184" s="137"/>
      <c r="I184" s="137"/>
      <c r="J184" s="137"/>
      <c r="K184" s="137"/>
      <c r="L184" s="138"/>
      <c r="M184" s="10"/>
    </row>
    <row r="185" spans="2:13" x14ac:dyDescent="0.25">
      <c r="B185" s="747" t="str">
        <f>D$32</f>
        <v>valeur de vente nette rendue (CAD)</v>
      </c>
      <c r="C185" s="748"/>
      <c r="D185" s="748"/>
      <c r="E185" s="137"/>
      <c r="F185" s="137"/>
      <c r="G185" s="137"/>
      <c r="H185" s="137"/>
      <c r="I185" s="137"/>
      <c r="J185" s="137"/>
      <c r="K185" s="137"/>
      <c r="L185" s="138"/>
      <c r="M185" s="10"/>
    </row>
    <row r="186" spans="2:13" x14ac:dyDescent="0.25">
      <c r="B186" s="747" t="str">
        <f>D$33</f>
        <v>$ / tonne</v>
      </c>
      <c r="C186" s="748"/>
      <c r="D186" s="748"/>
      <c r="E186" s="151" t="str">
        <f>IF(E184=0,"-",E185/E184)</f>
        <v>-</v>
      </c>
      <c r="F186" s="151" t="str">
        <f t="shared" ref="F186:L186" si="27">IF(F184=0,"-",F185/F184)</f>
        <v>-</v>
      </c>
      <c r="G186" s="151" t="str">
        <f t="shared" si="27"/>
        <v>-</v>
      </c>
      <c r="H186" s="151" t="str">
        <f t="shared" si="27"/>
        <v>-</v>
      </c>
      <c r="I186" s="151" t="str">
        <f t="shared" si="27"/>
        <v>-</v>
      </c>
      <c r="J186" s="151" t="str">
        <f t="shared" si="27"/>
        <v>-</v>
      </c>
      <c r="K186" s="151" t="str">
        <f t="shared" si="27"/>
        <v>-</v>
      </c>
      <c r="L186" s="152" t="str">
        <f t="shared" si="27"/>
        <v>-</v>
      </c>
      <c r="M186" s="10"/>
    </row>
    <row r="187" spans="2:13" x14ac:dyDescent="0.25">
      <c r="B187" s="768" t="str">
        <f>B116</f>
        <v xml:space="preserve">Tubage sans soudure P110 (y compris les améliorations) avec raccord API </v>
      </c>
      <c r="C187" s="641"/>
      <c r="D187" s="641"/>
      <c r="E187" s="641"/>
      <c r="F187" s="641"/>
      <c r="G187" s="641"/>
      <c r="H187" s="641"/>
      <c r="I187" s="641"/>
      <c r="J187" s="641"/>
      <c r="K187" s="641"/>
      <c r="L187" s="769"/>
      <c r="M187" s="10"/>
    </row>
    <row r="188" spans="2:13" x14ac:dyDescent="0.25">
      <c r="B188" s="770"/>
      <c r="C188" s="647"/>
      <c r="D188" s="647"/>
      <c r="E188" s="647"/>
      <c r="F188" s="647"/>
      <c r="G188" s="647"/>
      <c r="H188" s="647"/>
      <c r="I188" s="647"/>
      <c r="J188" s="647"/>
      <c r="K188" s="647"/>
      <c r="L188" s="771"/>
      <c r="M188" s="10"/>
    </row>
    <row r="189" spans="2:13" x14ac:dyDescent="0.25">
      <c r="B189" s="747" t="str">
        <f>D$31</f>
        <v>tonnes</v>
      </c>
      <c r="C189" s="748"/>
      <c r="D189" s="748"/>
      <c r="E189" s="137"/>
      <c r="F189" s="137"/>
      <c r="G189" s="137"/>
      <c r="H189" s="137"/>
      <c r="I189" s="137"/>
      <c r="J189" s="137"/>
      <c r="K189" s="137"/>
      <c r="L189" s="138"/>
      <c r="M189" s="10"/>
    </row>
    <row r="190" spans="2:13" x14ac:dyDescent="0.25">
      <c r="B190" s="747" t="str">
        <f>D$32</f>
        <v>valeur de vente nette rendue (CAD)</v>
      </c>
      <c r="C190" s="748"/>
      <c r="D190" s="748"/>
      <c r="E190" s="137"/>
      <c r="F190" s="137"/>
      <c r="G190" s="137"/>
      <c r="H190" s="137"/>
      <c r="I190" s="137"/>
      <c r="J190" s="137"/>
      <c r="K190" s="137"/>
      <c r="L190" s="138"/>
      <c r="M190" s="10"/>
    </row>
    <row r="191" spans="2:13" x14ac:dyDescent="0.25">
      <c r="B191" s="747" t="str">
        <f>D$33</f>
        <v>$ / tonne</v>
      </c>
      <c r="C191" s="748"/>
      <c r="D191" s="748"/>
      <c r="E191" s="151" t="str">
        <f>IF(E189=0,"-",E190/E189)</f>
        <v>-</v>
      </c>
      <c r="F191" s="151" t="str">
        <f t="shared" ref="F191:L191" si="28">IF(F189=0,"-",F190/F189)</f>
        <v>-</v>
      </c>
      <c r="G191" s="151" t="str">
        <f t="shared" si="28"/>
        <v>-</v>
      </c>
      <c r="H191" s="151" t="str">
        <f t="shared" si="28"/>
        <v>-</v>
      </c>
      <c r="I191" s="151" t="str">
        <f t="shared" si="28"/>
        <v>-</v>
      </c>
      <c r="J191" s="151" t="str">
        <f t="shared" si="28"/>
        <v>-</v>
      </c>
      <c r="K191" s="151" t="str">
        <f t="shared" si="28"/>
        <v>-</v>
      </c>
      <c r="L191" s="152" t="str">
        <f t="shared" si="28"/>
        <v>-</v>
      </c>
      <c r="M191" s="10"/>
    </row>
    <row r="192" spans="2:13" x14ac:dyDescent="0.25">
      <c r="B192" s="768" t="str">
        <f>B121</f>
        <v xml:space="preserve">Tubage soudé P110 (y compris les améliorations) avec raccord API </v>
      </c>
      <c r="C192" s="641"/>
      <c r="D192" s="641"/>
      <c r="E192" s="641"/>
      <c r="F192" s="641"/>
      <c r="G192" s="641"/>
      <c r="H192" s="641"/>
      <c r="I192" s="641"/>
      <c r="J192" s="641"/>
      <c r="K192" s="641"/>
      <c r="L192" s="769"/>
      <c r="M192" s="10"/>
    </row>
    <row r="193" spans="2:13" x14ac:dyDescent="0.25">
      <c r="B193" s="770"/>
      <c r="C193" s="647"/>
      <c r="D193" s="647"/>
      <c r="E193" s="647"/>
      <c r="F193" s="647"/>
      <c r="G193" s="647"/>
      <c r="H193" s="647"/>
      <c r="I193" s="647"/>
      <c r="J193" s="647"/>
      <c r="K193" s="647"/>
      <c r="L193" s="771"/>
      <c r="M193" s="10"/>
    </row>
    <row r="194" spans="2:13" x14ac:dyDescent="0.25">
      <c r="B194" s="747" t="str">
        <f>D$31</f>
        <v>tonnes</v>
      </c>
      <c r="C194" s="748"/>
      <c r="D194" s="748"/>
      <c r="E194" s="137"/>
      <c r="F194" s="137"/>
      <c r="G194" s="137"/>
      <c r="H194" s="137"/>
      <c r="I194" s="137"/>
      <c r="J194" s="137"/>
      <c r="K194" s="137"/>
      <c r="L194" s="138"/>
      <c r="M194" s="10"/>
    </row>
    <row r="195" spans="2:13" x14ac:dyDescent="0.25">
      <c r="B195" s="747" t="str">
        <f>D$32</f>
        <v>valeur de vente nette rendue (CAD)</v>
      </c>
      <c r="C195" s="748"/>
      <c r="D195" s="748"/>
      <c r="E195" s="137"/>
      <c r="F195" s="137"/>
      <c r="G195" s="137"/>
      <c r="H195" s="137"/>
      <c r="I195" s="137"/>
      <c r="J195" s="137"/>
      <c r="K195" s="137"/>
      <c r="L195" s="138"/>
      <c r="M195" s="10"/>
    </row>
    <row r="196" spans="2:13" x14ac:dyDescent="0.25">
      <c r="B196" s="747" t="str">
        <f>D$33</f>
        <v>$ / tonne</v>
      </c>
      <c r="C196" s="748"/>
      <c r="D196" s="748"/>
      <c r="E196" s="151" t="str">
        <f>IF(E194=0,"-",E195/E194)</f>
        <v>-</v>
      </c>
      <c r="F196" s="151" t="str">
        <f t="shared" ref="F196:L196" si="29">IF(F194=0,"-",F195/F194)</f>
        <v>-</v>
      </c>
      <c r="G196" s="151" t="str">
        <f t="shared" si="29"/>
        <v>-</v>
      </c>
      <c r="H196" s="151" t="str">
        <f t="shared" si="29"/>
        <v>-</v>
      </c>
      <c r="I196" s="151" t="str">
        <f t="shared" si="29"/>
        <v>-</v>
      </c>
      <c r="J196" s="151" t="str">
        <f t="shared" si="29"/>
        <v>-</v>
      </c>
      <c r="K196" s="151" t="str">
        <f t="shared" si="29"/>
        <v>-</v>
      </c>
      <c r="L196" s="152" t="str">
        <f t="shared" si="29"/>
        <v>-</v>
      </c>
      <c r="M196" s="10"/>
    </row>
    <row r="197" spans="2:13" x14ac:dyDescent="0.25">
      <c r="B197" s="768" t="str">
        <f>B126</f>
        <v>Tubage sans soudure P110 (y compris les améliorations) avec raccord de qualité semi-supérieure</v>
      </c>
      <c r="C197" s="641"/>
      <c r="D197" s="641"/>
      <c r="E197" s="641"/>
      <c r="F197" s="641"/>
      <c r="G197" s="641"/>
      <c r="H197" s="641"/>
      <c r="I197" s="641"/>
      <c r="J197" s="641"/>
      <c r="K197" s="641"/>
      <c r="L197" s="769"/>
      <c r="M197" s="10"/>
    </row>
    <row r="198" spans="2:13" x14ac:dyDescent="0.25">
      <c r="B198" s="770"/>
      <c r="C198" s="647"/>
      <c r="D198" s="647"/>
      <c r="E198" s="647"/>
      <c r="F198" s="647"/>
      <c r="G198" s="647"/>
      <c r="H198" s="647"/>
      <c r="I198" s="647"/>
      <c r="J198" s="647"/>
      <c r="K198" s="647"/>
      <c r="L198" s="771"/>
      <c r="M198" s="10"/>
    </row>
    <row r="199" spans="2:13" x14ac:dyDescent="0.25">
      <c r="B199" s="747" t="str">
        <f>D$31</f>
        <v>tonnes</v>
      </c>
      <c r="C199" s="748"/>
      <c r="D199" s="748"/>
      <c r="E199" s="137"/>
      <c r="F199" s="137"/>
      <c r="G199" s="137"/>
      <c r="H199" s="137"/>
      <c r="I199" s="137"/>
      <c r="J199" s="137"/>
      <c r="K199" s="137"/>
      <c r="L199" s="138"/>
      <c r="M199" s="10"/>
    </row>
    <row r="200" spans="2:13" x14ac:dyDescent="0.25">
      <c r="B200" s="747" t="str">
        <f>D$32</f>
        <v>valeur de vente nette rendue (CAD)</v>
      </c>
      <c r="C200" s="748"/>
      <c r="D200" s="748"/>
      <c r="E200" s="137"/>
      <c r="F200" s="137"/>
      <c r="G200" s="137"/>
      <c r="H200" s="137"/>
      <c r="I200" s="137"/>
      <c r="J200" s="137"/>
      <c r="K200" s="137"/>
      <c r="L200" s="138"/>
      <c r="M200" s="10"/>
    </row>
    <row r="201" spans="2:13" x14ac:dyDescent="0.25">
      <c r="B201" s="747" t="str">
        <f>D$33</f>
        <v>$ / tonne</v>
      </c>
      <c r="C201" s="748"/>
      <c r="D201" s="748"/>
      <c r="E201" s="151" t="str">
        <f>IF(E199=0,"-",E200/E199)</f>
        <v>-</v>
      </c>
      <c r="F201" s="151" t="str">
        <f t="shared" ref="F201:L201" si="30">IF(F199=0,"-",F200/F199)</f>
        <v>-</v>
      </c>
      <c r="G201" s="151" t="str">
        <f t="shared" si="30"/>
        <v>-</v>
      </c>
      <c r="H201" s="151" t="str">
        <f t="shared" si="30"/>
        <v>-</v>
      </c>
      <c r="I201" s="151" t="str">
        <f t="shared" si="30"/>
        <v>-</v>
      </c>
      <c r="J201" s="151" t="str">
        <f t="shared" si="30"/>
        <v>-</v>
      </c>
      <c r="K201" s="151" t="str">
        <f t="shared" si="30"/>
        <v>-</v>
      </c>
      <c r="L201" s="152" t="str">
        <f t="shared" si="30"/>
        <v>-</v>
      </c>
      <c r="M201" s="10"/>
    </row>
    <row r="202" spans="2:13" x14ac:dyDescent="0.25">
      <c r="B202" s="768" t="str">
        <f>B131</f>
        <v>Tubage soudé P110 (y compris les améliorations) avec raccord de qualité semi-supérieure</v>
      </c>
      <c r="C202" s="641"/>
      <c r="D202" s="641"/>
      <c r="E202" s="641"/>
      <c r="F202" s="641"/>
      <c r="G202" s="641"/>
      <c r="H202" s="641"/>
      <c r="I202" s="641"/>
      <c r="J202" s="641"/>
      <c r="K202" s="641"/>
      <c r="L202" s="769"/>
      <c r="M202" s="10"/>
    </row>
    <row r="203" spans="2:13" x14ac:dyDescent="0.25">
      <c r="B203" s="770"/>
      <c r="C203" s="647"/>
      <c r="D203" s="647"/>
      <c r="E203" s="647"/>
      <c r="F203" s="647"/>
      <c r="G203" s="647"/>
      <c r="H203" s="647"/>
      <c r="I203" s="647"/>
      <c r="J203" s="647"/>
      <c r="K203" s="647"/>
      <c r="L203" s="771"/>
      <c r="M203" s="10"/>
    </row>
    <row r="204" spans="2:13" x14ac:dyDescent="0.25">
      <c r="B204" s="747" t="str">
        <f>D$31</f>
        <v>tonnes</v>
      </c>
      <c r="C204" s="748"/>
      <c r="D204" s="748"/>
      <c r="E204" s="137"/>
      <c r="F204" s="137"/>
      <c r="G204" s="137"/>
      <c r="H204" s="137"/>
      <c r="I204" s="137"/>
      <c r="J204" s="137"/>
      <c r="K204" s="137"/>
      <c r="L204" s="138"/>
      <c r="M204" s="10"/>
    </row>
    <row r="205" spans="2:13" x14ac:dyDescent="0.25">
      <c r="B205" s="747" t="str">
        <f>D$32</f>
        <v>valeur de vente nette rendue (CAD)</v>
      </c>
      <c r="C205" s="748"/>
      <c r="D205" s="748"/>
      <c r="E205" s="137"/>
      <c r="F205" s="137"/>
      <c r="G205" s="137"/>
      <c r="H205" s="137"/>
      <c r="I205" s="137"/>
      <c r="J205" s="137"/>
      <c r="K205" s="137"/>
      <c r="L205" s="138"/>
      <c r="M205" s="10"/>
    </row>
    <row r="206" spans="2:13" x14ac:dyDescent="0.25">
      <c r="B206" s="747" t="str">
        <f>D$33</f>
        <v>$ / tonne</v>
      </c>
      <c r="C206" s="748"/>
      <c r="D206" s="748"/>
      <c r="E206" s="151" t="str">
        <f>IF(E204=0,"-",E205/E204)</f>
        <v>-</v>
      </c>
      <c r="F206" s="151" t="str">
        <f t="shared" ref="F206:L206" si="31">IF(F204=0,"-",F205/F204)</f>
        <v>-</v>
      </c>
      <c r="G206" s="151" t="str">
        <f t="shared" si="31"/>
        <v>-</v>
      </c>
      <c r="H206" s="151" t="str">
        <f t="shared" si="31"/>
        <v>-</v>
      </c>
      <c r="I206" s="151" t="str">
        <f t="shared" si="31"/>
        <v>-</v>
      </c>
      <c r="J206" s="151" t="str">
        <f t="shared" si="31"/>
        <v>-</v>
      </c>
      <c r="K206" s="151" t="str">
        <f t="shared" si="31"/>
        <v>-</v>
      </c>
      <c r="L206" s="152" t="str">
        <f t="shared" si="31"/>
        <v>-</v>
      </c>
      <c r="M206" s="10"/>
    </row>
    <row r="207" spans="2:13" x14ac:dyDescent="0.25">
      <c r="B207" s="768" t="str">
        <f>B136</f>
        <v>Tubage sans soudure T95 (y compris les améliorations) avec raccord semi-supérieure</v>
      </c>
      <c r="C207" s="641"/>
      <c r="D207" s="641"/>
      <c r="E207" s="641"/>
      <c r="F207" s="641"/>
      <c r="G207" s="641"/>
      <c r="H207" s="641"/>
      <c r="I207" s="641"/>
      <c r="J207" s="641"/>
      <c r="K207" s="641"/>
      <c r="L207" s="769"/>
      <c r="M207" s="10"/>
    </row>
    <row r="208" spans="2:13" x14ac:dyDescent="0.25">
      <c r="B208" s="770"/>
      <c r="C208" s="647"/>
      <c r="D208" s="647"/>
      <c r="E208" s="647"/>
      <c r="F208" s="647"/>
      <c r="G208" s="647"/>
      <c r="H208" s="647"/>
      <c r="I208" s="647"/>
      <c r="J208" s="647"/>
      <c r="K208" s="647"/>
      <c r="L208" s="771"/>
      <c r="M208" s="10"/>
    </row>
    <row r="209" spans="2:19" x14ac:dyDescent="0.25">
      <c r="B209" s="747" t="str">
        <f>D$31</f>
        <v>tonnes</v>
      </c>
      <c r="C209" s="748"/>
      <c r="D209" s="748"/>
      <c r="E209" s="137"/>
      <c r="F209" s="137"/>
      <c r="G209" s="137"/>
      <c r="H209" s="137"/>
      <c r="I209" s="137"/>
      <c r="J209" s="137"/>
      <c r="K209" s="137"/>
      <c r="L209" s="138"/>
      <c r="M209" s="10"/>
    </row>
    <row r="210" spans="2:19" x14ac:dyDescent="0.25">
      <c r="B210" s="747" t="str">
        <f>D$32</f>
        <v>valeur de vente nette rendue (CAD)</v>
      </c>
      <c r="C210" s="748"/>
      <c r="D210" s="748"/>
      <c r="E210" s="137"/>
      <c r="F210" s="137"/>
      <c r="G210" s="137"/>
      <c r="H210" s="137"/>
      <c r="I210" s="137"/>
      <c r="J210" s="137"/>
      <c r="K210" s="137"/>
      <c r="L210" s="138"/>
      <c r="M210" s="10"/>
    </row>
    <row r="211" spans="2:19" x14ac:dyDescent="0.25">
      <c r="B211" s="747" t="str">
        <f>D$33</f>
        <v>$ / tonne</v>
      </c>
      <c r="C211" s="748"/>
      <c r="D211" s="748"/>
      <c r="E211" s="151" t="str">
        <f>IF(E209=0,"-",E210/E209)</f>
        <v>-</v>
      </c>
      <c r="F211" s="151" t="str">
        <f t="shared" ref="F211:L211" si="32">IF(F209=0,"-",F210/F209)</f>
        <v>-</v>
      </c>
      <c r="G211" s="151" t="str">
        <f t="shared" si="32"/>
        <v>-</v>
      </c>
      <c r="H211" s="151" t="str">
        <f t="shared" si="32"/>
        <v>-</v>
      </c>
      <c r="I211" s="151" t="str">
        <f t="shared" si="32"/>
        <v>-</v>
      </c>
      <c r="J211" s="151" t="str">
        <f t="shared" si="32"/>
        <v>-</v>
      </c>
      <c r="K211" s="151" t="str">
        <f t="shared" si="32"/>
        <v>-</v>
      </c>
      <c r="L211" s="152" t="str">
        <f t="shared" si="32"/>
        <v>-</v>
      </c>
      <c r="M211" s="10"/>
    </row>
    <row r="212" spans="2:19" x14ac:dyDescent="0.25">
      <c r="B212" s="768" t="str">
        <f>B141</f>
        <v>Tubage sans soudure P110S (y compris les améliorations) ou nuance similaire pour milieux modérément acides avec raccord de qualité semi-supérieure</v>
      </c>
      <c r="C212" s="641"/>
      <c r="D212" s="641"/>
      <c r="E212" s="641"/>
      <c r="F212" s="641"/>
      <c r="G212" s="641"/>
      <c r="H212" s="641"/>
      <c r="I212" s="641"/>
      <c r="J212" s="641"/>
      <c r="K212" s="641"/>
      <c r="L212" s="769"/>
      <c r="M212" s="10"/>
    </row>
    <row r="213" spans="2:19" x14ac:dyDescent="0.25">
      <c r="B213" s="770"/>
      <c r="C213" s="647"/>
      <c r="D213" s="647"/>
      <c r="E213" s="647"/>
      <c r="F213" s="647"/>
      <c r="G213" s="647"/>
      <c r="H213" s="647"/>
      <c r="I213" s="647"/>
      <c r="J213" s="647"/>
      <c r="K213" s="647"/>
      <c r="L213" s="771"/>
      <c r="M213" s="10"/>
    </row>
    <row r="214" spans="2:19" x14ac:dyDescent="0.25">
      <c r="B214" s="747" t="str">
        <f>D$31</f>
        <v>tonnes</v>
      </c>
      <c r="C214" s="748"/>
      <c r="D214" s="748"/>
      <c r="E214" s="137"/>
      <c r="F214" s="137"/>
      <c r="G214" s="137"/>
      <c r="H214" s="137"/>
      <c r="I214" s="137"/>
      <c r="J214" s="137"/>
      <c r="K214" s="137"/>
      <c r="L214" s="138"/>
      <c r="M214" s="10"/>
    </row>
    <row r="215" spans="2:19" x14ac:dyDescent="0.25">
      <c r="B215" s="747" t="str">
        <f>D$32</f>
        <v>valeur de vente nette rendue (CAD)</v>
      </c>
      <c r="C215" s="748"/>
      <c r="D215" s="748"/>
      <c r="E215" s="137"/>
      <c r="F215" s="137"/>
      <c r="G215" s="137"/>
      <c r="H215" s="137"/>
      <c r="I215" s="137"/>
      <c r="J215" s="137"/>
      <c r="K215" s="137"/>
      <c r="L215" s="138"/>
      <c r="M215" s="10"/>
    </row>
    <row r="216" spans="2:19" x14ac:dyDescent="0.25">
      <c r="B216" s="747" t="str">
        <f>D$33</f>
        <v>$ / tonne</v>
      </c>
      <c r="C216" s="748"/>
      <c r="D216" s="748"/>
      <c r="E216" s="151" t="str">
        <f>IF(E214=0,"-",E215/E214)</f>
        <v>-</v>
      </c>
      <c r="F216" s="151" t="str">
        <f t="shared" ref="F216:L216" si="33">IF(F214=0,"-",F215/F214)</f>
        <v>-</v>
      </c>
      <c r="G216" s="151" t="str">
        <f t="shared" si="33"/>
        <v>-</v>
      </c>
      <c r="H216" s="151" t="str">
        <f t="shared" si="33"/>
        <v>-</v>
      </c>
      <c r="I216" s="151" t="str">
        <f t="shared" si="33"/>
        <v>-</v>
      </c>
      <c r="J216" s="151" t="str">
        <f t="shared" si="33"/>
        <v>-</v>
      </c>
      <c r="K216" s="151" t="str">
        <f t="shared" si="33"/>
        <v>-</v>
      </c>
      <c r="L216" s="152" t="str">
        <f t="shared" si="33"/>
        <v>-</v>
      </c>
      <c r="M216" s="10"/>
    </row>
    <row r="217" spans="2:19" x14ac:dyDescent="0.25">
      <c r="B217" s="260"/>
      <c r="C217" s="261"/>
      <c r="D217" s="261"/>
      <c r="E217" s="29"/>
      <c r="F217" s="29"/>
      <c r="G217" s="29"/>
      <c r="H217" s="29"/>
      <c r="I217" s="29"/>
      <c r="J217" s="29"/>
      <c r="K217" s="29"/>
      <c r="L217" s="30"/>
      <c r="M217" s="10"/>
    </row>
    <row r="218" spans="2:19" x14ac:dyDescent="0.25">
      <c r="B218" s="527" t="str">
        <f>IF(Intro!$G$20="English",O218,P218)</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18" s="528"/>
      <c r="D218" s="528"/>
      <c r="E218" s="528"/>
      <c r="F218" s="528"/>
      <c r="G218" s="528"/>
      <c r="H218" s="528"/>
      <c r="I218" s="528"/>
      <c r="J218" s="528"/>
      <c r="K218" s="528"/>
      <c r="L218" s="529"/>
      <c r="M218" s="10"/>
      <c r="O218" s="10" t="s">
        <v>363</v>
      </c>
      <c r="P218" s="10" t="s">
        <v>401</v>
      </c>
      <c r="S218" s="38"/>
    </row>
    <row r="219" spans="2:19" x14ac:dyDescent="0.25">
      <c r="B219" s="527"/>
      <c r="C219" s="528"/>
      <c r="D219" s="528"/>
      <c r="E219" s="528"/>
      <c r="F219" s="528"/>
      <c r="G219" s="528"/>
      <c r="H219" s="528"/>
      <c r="I219" s="528"/>
      <c r="J219" s="528"/>
      <c r="K219" s="528"/>
      <c r="L219" s="529"/>
      <c r="M219" s="10"/>
      <c r="S219" s="38"/>
    </row>
    <row r="220" spans="2:19" x14ac:dyDescent="0.25">
      <c r="B220" s="247"/>
      <c r="C220" s="248"/>
      <c r="D220" s="248"/>
      <c r="E220" s="29"/>
      <c r="F220" s="29"/>
      <c r="G220" s="29"/>
      <c r="H220" s="29"/>
      <c r="I220" s="29"/>
      <c r="J220" s="29"/>
      <c r="K220" s="29"/>
      <c r="L220" s="30"/>
      <c r="M220" s="10"/>
      <c r="S220" s="38"/>
    </row>
    <row r="221" spans="2:19" ht="14.1" customHeight="1" x14ac:dyDescent="0.25">
      <c r="B221" s="760" t="str">
        <f>Variables!D66</f>
        <v>Vérification - volume</v>
      </c>
      <c r="C221" s="761"/>
      <c r="D221" s="761"/>
      <c r="E221" s="761"/>
      <c r="F221" s="762"/>
      <c r="G221" s="251">
        <f>G150</f>
        <v>2024</v>
      </c>
      <c r="H221" s="251">
        <f>H150</f>
        <v>2025</v>
      </c>
      <c r="I221" s="251" t="str">
        <f>I150</f>
        <v>janv.-mars 2025</v>
      </c>
      <c r="J221" s="251" t="str">
        <f>J150</f>
        <v>janv.-mars 2026</v>
      </c>
      <c r="K221" s="225"/>
      <c r="L221" s="226"/>
      <c r="M221" s="10"/>
      <c r="O221" s="18"/>
    </row>
    <row r="222" spans="2:19" ht="14.1" customHeight="1" x14ac:dyDescent="0.25">
      <c r="B222" s="757" t="str">
        <f>B169</f>
        <v>tonnes</v>
      </c>
      <c r="C222" s="758"/>
      <c r="D222" s="758"/>
      <c r="E222" s="758"/>
      <c r="F222" s="759"/>
      <c r="G222" s="187" t="str">
        <f>IF(SUM(E169:G169,E174:G174,E179:G179,E184:G184,E189:G189,E194:G194,E199:G199,E204:G204,E209:G209,E214:G214)&gt;H44,Variables!$D$67,Variables!$D$68)</f>
        <v>Correct</v>
      </c>
      <c r="H222" s="187" t="str">
        <f>IF(SUM(H169:K169,H174:K174,H179:K179,H184:K184,H189:K189,H194:K194,H199:K199,H204:K204,H209:K209,H214:K214)&gt;I44,Variables!$D$67,Variables!$D$68)</f>
        <v>Correct</v>
      </c>
      <c r="I222" s="187" t="str">
        <f>IF(SUM(H169,H174,H179,H184,H189,H194,H199,H204,H209,H214)&gt;J44,Variables!$D$67,Variables!$D$68)</f>
        <v>Correct</v>
      </c>
      <c r="J222" s="187" t="str">
        <f>IF(SUM(L169,L174,L179,L184,L189,L194,L199,L204,L209,L214)&gt;K44,Variables!$D$67,Variables!$D$68)</f>
        <v>Correct</v>
      </c>
      <c r="K222" s="225"/>
      <c r="L222" s="226"/>
      <c r="M222" s="10"/>
    </row>
    <row r="223" spans="2:19" ht="27" customHeight="1" x14ac:dyDescent="0.25">
      <c r="B223" s="763" t="str">
        <f>IF(Intro!$G$20="English",O223,P223)</f>
        <v>volume - total des ventes au Canada d'importations des produits de référence (Question 4)</v>
      </c>
      <c r="C223" s="764"/>
      <c r="D223" s="764"/>
      <c r="E223" s="764"/>
      <c r="F223" s="765"/>
      <c r="G223" s="191">
        <f>(SUM(E169:G169,E174:G174,E179:G179,E184:G184,E189:G189,E194:G194,E199:G199,E204:G204,E209:G209,E214:G214))</f>
        <v>0</v>
      </c>
      <c r="H223" s="191">
        <f>SUM(H169:K169,H174:K174,H179:K179,H184:K184,H189:K189,H194:K194,H199:K199,H204:K204,H209:K209,H214:K214)</f>
        <v>0</v>
      </c>
      <c r="I223" s="191">
        <f>SUM(H169,H174,H179,H184,H189,H194,H199,H204,H209,H214)</f>
        <v>0</v>
      </c>
      <c r="J223" s="191">
        <f>SUM(L169,L174,L179,L184,L189,L194,L199,L204,L209,L214)</f>
        <v>0</v>
      </c>
      <c r="K223" s="225"/>
      <c r="L223" s="226"/>
      <c r="M223" s="10"/>
      <c r="O223" s="10" t="s">
        <v>447</v>
      </c>
      <c r="P223" s="10" t="s">
        <v>449</v>
      </c>
    </row>
    <row r="224" spans="2:19" ht="27" customHeight="1" x14ac:dyDescent="0.25">
      <c r="B224" s="763" t="str">
        <f>IF(Intro!$G$20="English",O224,P224)</f>
        <v>volume - total des ventes au Canada d'importations (Question 1)</v>
      </c>
      <c r="C224" s="764"/>
      <c r="D224" s="764"/>
      <c r="E224" s="764"/>
      <c r="F224" s="765"/>
      <c r="G224" s="187">
        <f>H44</f>
        <v>0</v>
      </c>
      <c r="H224" s="187">
        <f>I44</f>
        <v>0</v>
      </c>
      <c r="I224" s="187">
        <f>J44</f>
        <v>0</v>
      </c>
      <c r="J224" s="187">
        <f>K44</f>
        <v>0</v>
      </c>
      <c r="K224" s="225"/>
      <c r="L224" s="226"/>
      <c r="M224" s="10"/>
      <c r="O224" s="10" t="s">
        <v>440</v>
      </c>
      <c r="P224" s="10" t="s">
        <v>442</v>
      </c>
    </row>
    <row r="225" spans="1:16" x14ac:dyDescent="0.25">
      <c r="B225" s="760" t="str">
        <f>Variables!D70</f>
        <v>Vérification - valeur</v>
      </c>
      <c r="C225" s="761"/>
      <c r="D225" s="761"/>
      <c r="E225" s="761"/>
      <c r="F225" s="762"/>
      <c r="G225" s="251">
        <f>G221</f>
        <v>2024</v>
      </c>
      <c r="H225" s="251">
        <f t="shared" ref="H225:J225" si="34">H221</f>
        <v>2025</v>
      </c>
      <c r="I225" s="251" t="str">
        <f t="shared" si="34"/>
        <v>janv.-mars 2025</v>
      </c>
      <c r="J225" s="251" t="str">
        <f t="shared" si="34"/>
        <v>janv.-mars 2026</v>
      </c>
      <c r="K225" s="225"/>
      <c r="L225" s="226"/>
      <c r="M225" s="10"/>
    </row>
    <row r="226" spans="1:16" ht="14.1" customHeight="1" x14ac:dyDescent="0.25">
      <c r="B226" s="757" t="str">
        <f>B170</f>
        <v>valeur de vente nette rendue (CAD)</v>
      </c>
      <c r="C226" s="758"/>
      <c r="D226" s="758"/>
      <c r="E226" s="758"/>
      <c r="F226" s="759"/>
      <c r="G226" s="187" t="str">
        <f>IF(SUM(E170:G170,E175:G175,E180:G180,E185:G185,E190:G190,E195:G195,E200:G200,E205:G205,E210:G210,E215:G215)&gt;H45,Variables!$D$67,Variables!$D$68)</f>
        <v>Correct</v>
      </c>
      <c r="H226" s="187" t="str">
        <f>IF(SUM(H170:K170,H175:K175,H180:K180,H185:K185,H190:K190,H195:K195,H200:K200,H205:K205,H210:K210,H215:K215)&gt;I45,Variables!$D$67,Variables!$D$68)</f>
        <v>Correct</v>
      </c>
      <c r="I226" s="187" t="str">
        <f>IF(SUM(H170,H175,H180,H185,H190,H195,H200,H205,H210,H215)&gt;J45,Variables!$D$67,Variables!$D$68)</f>
        <v>Correct</v>
      </c>
      <c r="J226" s="187" t="str">
        <f>IF(SUM(L170,L175,L180,L185,L190,L195,L200,L205,L210,L215)&gt;K45,Variables!$D$67,Variables!$D$68)</f>
        <v>Correct</v>
      </c>
      <c r="K226" s="225"/>
      <c r="L226" s="226"/>
      <c r="M226" s="10"/>
    </row>
    <row r="227" spans="1:16" ht="26.25" customHeight="1" x14ac:dyDescent="0.25">
      <c r="B227" s="763" t="str">
        <f>IF(Intro!$G$20="English",O227,P227)</f>
        <v>valeur - total des ventes au Canada d'importations des produits de référence (Question 4)</v>
      </c>
      <c r="C227" s="764"/>
      <c r="D227" s="764"/>
      <c r="E227" s="764"/>
      <c r="F227" s="765"/>
      <c r="G227" s="191">
        <f>SUM(E170:G170,E175:G175,E180:G180,E185:G185,E190:G190,E195:G195,E200:G200,E205:G205,E210:G210,E215:G215)</f>
        <v>0</v>
      </c>
      <c r="H227" s="191">
        <f>SUM(H170:K170,H175:K175,H180:K180,H185:K185,H190:K190,H195:K195,H200:K200,H205:K205,H210:K210,H215:K215)</f>
        <v>0</v>
      </c>
      <c r="I227" s="191">
        <f>SUM(H170,H175,H180,H185,H190,H195,H200,H205,H210,H215)</f>
        <v>0</v>
      </c>
      <c r="J227" s="191">
        <f>SUM(L170,L175,L180,L185,L190,L195,L200,L205,L210,L215)</f>
        <v>0</v>
      </c>
      <c r="K227" s="225"/>
      <c r="L227" s="226"/>
      <c r="M227" s="10"/>
      <c r="O227" s="10" t="s">
        <v>448</v>
      </c>
      <c r="P227" s="10" t="s">
        <v>450</v>
      </c>
    </row>
    <row r="228" spans="1:16" ht="14.1" customHeight="1" x14ac:dyDescent="0.25">
      <c r="B228" s="763" t="str">
        <f>IF(Intro!$G$20="English",O228,P228)</f>
        <v>valeur - total des ventes au Canada d'importations (Question 1)</v>
      </c>
      <c r="C228" s="764"/>
      <c r="D228" s="764"/>
      <c r="E228" s="764"/>
      <c r="F228" s="765"/>
      <c r="G228" s="187">
        <f>H45</f>
        <v>0</v>
      </c>
      <c r="H228" s="187">
        <f>I45</f>
        <v>0</v>
      </c>
      <c r="I228" s="187">
        <f>J45</f>
        <v>0</v>
      </c>
      <c r="J228" s="187">
        <f>K45</f>
        <v>0</v>
      </c>
      <c r="K228" s="225"/>
      <c r="L228" s="226"/>
      <c r="M228" s="10"/>
      <c r="O228" s="10" t="s">
        <v>446</v>
      </c>
      <c r="P228" s="10" t="s">
        <v>444</v>
      </c>
    </row>
    <row r="229" spans="1:16" x14ac:dyDescent="0.25">
      <c r="B229" s="72"/>
      <c r="C229" s="82"/>
      <c r="D229" s="82"/>
      <c r="E229" s="82"/>
      <c r="F229" s="82"/>
      <c r="G229" s="82"/>
      <c r="H229" s="82"/>
      <c r="I229" s="82"/>
      <c r="J229" s="82"/>
      <c r="K229" s="82"/>
      <c r="L229" s="83"/>
      <c r="M229" s="10"/>
    </row>
    <row r="230" spans="1:16" s="44" customFormat="1" x14ac:dyDescent="0.25">
      <c r="A230" s="92"/>
      <c r="B230" s="4"/>
      <c r="C230" s="4"/>
      <c r="D230" s="77"/>
      <c r="E230" s="77"/>
      <c r="F230" s="77"/>
      <c r="G230" s="77"/>
      <c r="H230" s="77"/>
      <c r="I230" s="77"/>
      <c r="J230" s="77"/>
      <c r="K230" s="77"/>
      <c r="L230" s="77"/>
      <c r="N230" s="78"/>
    </row>
    <row r="231" spans="1:16" x14ac:dyDescent="0.25">
      <c r="B231" s="533" t="str">
        <f>IF(Intro!$G$20="English",O231,P231)</f>
        <v>DONNÉES SUR LES IMPORTATIONS POUR LA PÉRIODE D'ENQUÊTE ANTIDUMPING DE L'ASFC</v>
      </c>
      <c r="C231" s="534"/>
      <c r="D231" s="534"/>
      <c r="E231" s="534"/>
      <c r="F231" s="534"/>
      <c r="G231" s="534"/>
      <c r="H231" s="534"/>
      <c r="I231" s="534"/>
      <c r="J231" s="534"/>
      <c r="K231" s="534"/>
      <c r="L231" s="535"/>
      <c r="M231" s="10"/>
      <c r="O231" s="105" t="s">
        <v>337</v>
      </c>
      <c r="P231" s="105" t="s">
        <v>338</v>
      </c>
    </row>
    <row r="232" spans="1:16" s="207" customFormat="1" x14ac:dyDescent="0.25">
      <c r="A232" s="7"/>
      <c r="B232" s="671" t="s">
        <v>18</v>
      </c>
      <c r="C232" s="672"/>
      <c r="D232" s="672"/>
      <c r="E232" s="672"/>
      <c r="F232" s="672"/>
      <c r="G232" s="672"/>
      <c r="H232" s="672"/>
      <c r="I232" s="672"/>
      <c r="J232" s="672"/>
      <c r="K232" s="672"/>
      <c r="L232" s="673"/>
      <c r="M232" s="73"/>
      <c r="O232" s="10"/>
    </row>
    <row r="233" spans="1:16" x14ac:dyDescent="0.25">
      <c r="B233" s="16"/>
      <c r="C233" s="35"/>
      <c r="D233" s="35"/>
      <c r="E233" s="36"/>
      <c r="F233" s="36"/>
      <c r="G233" s="36"/>
      <c r="H233" s="36"/>
      <c r="I233" s="36"/>
      <c r="J233" s="36"/>
      <c r="K233" s="36"/>
      <c r="L233" s="17"/>
      <c r="M233" s="10"/>
    </row>
    <row r="234" spans="1:16" x14ac:dyDescent="0.25">
      <c r="B234" s="530" t="str">
        <f>IF(Intro!$G$20="English",O234,P234)</f>
        <v>Indiquez le volume et la valeur des importations pendant la période d'enquête de dumping de l'ASFC :</v>
      </c>
      <c r="C234" s="531"/>
      <c r="D234" s="531"/>
      <c r="E234" s="531"/>
      <c r="F234" s="531"/>
      <c r="G234" s="531"/>
      <c r="H234" s="531"/>
      <c r="I234" s="531"/>
      <c r="J234" s="531"/>
      <c r="K234" s="531"/>
      <c r="L234" s="532"/>
      <c r="M234" s="10"/>
      <c r="O234" s="18" t="s">
        <v>199</v>
      </c>
      <c r="P234" s="10" t="s">
        <v>200</v>
      </c>
    </row>
    <row r="235" spans="1:16" x14ac:dyDescent="0.25">
      <c r="B235" s="247"/>
      <c r="C235" s="248"/>
      <c r="D235" s="35"/>
      <c r="E235" s="36"/>
      <c r="F235" s="36"/>
      <c r="G235" s="36"/>
      <c r="H235" s="36"/>
      <c r="I235" s="36"/>
      <c r="J235" s="36"/>
      <c r="K235" s="36"/>
      <c r="L235" s="17"/>
      <c r="M235" s="10"/>
      <c r="O235" s="18"/>
    </row>
    <row r="236" spans="1:16" ht="29.25" customHeight="1" x14ac:dyDescent="0.25">
      <c r="B236" s="48"/>
      <c r="C236" s="45"/>
      <c r="D236" s="35"/>
      <c r="E236" s="10"/>
      <c r="F236" s="775" t="str">
        <f>IF(Intro!$G$20="English",Variables!B41,Variables!C41)</f>
        <v>1er décembre 2024 - 30 novembre 2025</v>
      </c>
      <c r="G236" s="776"/>
      <c r="H236" s="225"/>
      <c r="I236" s="225"/>
      <c r="J236" s="225"/>
      <c r="K236" s="225"/>
      <c r="L236" s="71"/>
      <c r="M236" s="10"/>
      <c r="O236" s="47"/>
      <c r="P236" s="47"/>
    </row>
    <row r="237" spans="1:16" x14ac:dyDescent="0.25">
      <c r="B237" s="567" t="str">
        <f>IF(Intro!$G$20="English",O237,P237)</f>
        <v>Importations</v>
      </c>
      <c r="C237" s="748" t="str">
        <f>D26</f>
        <v>tonnes</v>
      </c>
      <c r="D237" s="748"/>
      <c r="E237" s="748"/>
      <c r="F237" s="777"/>
      <c r="G237" s="778"/>
      <c r="H237" s="225"/>
      <c r="I237" s="225"/>
      <c r="J237" s="225"/>
      <c r="K237" s="225"/>
      <c r="L237" s="71"/>
      <c r="M237" s="10"/>
      <c r="O237" s="10" t="s">
        <v>91</v>
      </c>
      <c r="P237" s="10" t="s">
        <v>170</v>
      </c>
    </row>
    <row r="238" spans="1:16" x14ac:dyDescent="0.25">
      <c r="B238" s="567"/>
      <c r="C238" s="748" t="str">
        <f>D27</f>
        <v>valeur d'achat nette rendue (CAD)</v>
      </c>
      <c r="D238" s="748"/>
      <c r="E238" s="748"/>
      <c r="F238" s="777"/>
      <c r="G238" s="778"/>
      <c r="H238" s="225"/>
      <c r="I238" s="225"/>
      <c r="J238" s="225"/>
      <c r="K238" s="225"/>
      <c r="L238" s="71"/>
      <c r="M238" s="10"/>
    </row>
    <row r="239" spans="1:16" x14ac:dyDescent="0.25">
      <c r="B239" s="567"/>
      <c r="C239" s="748" t="str">
        <f>D28</f>
        <v>$ / tonne</v>
      </c>
      <c r="D239" s="748"/>
      <c r="E239" s="748"/>
      <c r="F239" s="779" t="str">
        <f>IF(F237=0,"-",F238/F237)</f>
        <v>-</v>
      </c>
      <c r="G239" s="780"/>
      <c r="H239" s="88"/>
      <c r="I239" s="88"/>
      <c r="J239" s="88"/>
      <c r="K239" s="88"/>
      <c r="L239" s="71"/>
      <c r="M239" s="10"/>
    </row>
    <row r="240" spans="1:16" x14ac:dyDescent="0.25">
      <c r="B240" s="46"/>
      <c r="C240" s="115"/>
      <c r="D240" s="115"/>
      <c r="E240" s="34"/>
      <c r="F240" s="34"/>
      <c r="G240" s="34"/>
      <c r="H240" s="34"/>
      <c r="I240" s="34"/>
      <c r="J240" s="34"/>
      <c r="K240" s="34"/>
      <c r="L240" s="37"/>
      <c r="M240" s="10"/>
    </row>
    <row r="241" spans="1:19" s="44" customFormat="1" x14ac:dyDescent="0.25">
      <c r="A241" s="92"/>
      <c r="B241" s="4"/>
      <c r="C241" s="4"/>
      <c r="D241" s="77"/>
      <c r="E241" s="77"/>
      <c r="F241" s="77"/>
      <c r="G241" s="77"/>
      <c r="H241" s="77"/>
      <c r="I241" s="77"/>
      <c r="J241" s="77"/>
      <c r="K241" s="77"/>
      <c r="L241" s="77"/>
      <c r="N241" s="78"/>
    </row>
    <row r="242" spans="1:19" x14ac:dyDescent="0.25">
      <c r="B242" s="533" t="str">
        <f>UPPER(IF(Intro!$G$20="English",O242,P242))</f>
        <v>DONNÉES SUR LES IMPORTATIONS POUR L'ANALYSE DES IMPORTATIONS MASSIVES</v>
      </c>
      <c r="C242" s="534"/>
      <c r="D242" s="534"/>
      <c r="E242" s="534"/>
      <c r="F242" s="534"/>
      <c r="G242" s="534"/>
      <c r="H242" s="534"/>
      <c r="I242" s="534"/>
      <c r="J242" s="534"/>
      <c r="K242" s="534"/>
      <c r="L242" s="535"/>
      <c r="M242" s="10"/>
      <c r="O242" s="105" t="s">
        <v>339</v>
      </c>
      <c r="P242" s="105" t="s">
        <v>402</v>
      </c>
    </row>
    <row r="243" spans="1:19" s="207" customFormat="1" x14ac:dyDescent="0.25">
      <c r="A243" s="7"/>
      <c r="B243" s="671" t="s">
        <v>19</v>
      </c>
      <c r="C243" s="672"/>
      <c r="D243" s="672"/>
      <c r="E243" s="672"/>
      <c r="F243" s="672"/>
      <c r="G243" s="672"/>
      <c r="H243" s="672"/>
      <c r="I243" s="672"/>
      <c r="J243" s="672"/>
      <c r="K243" s="672"/>
      <c r="L243" s="673"/>
      <c r="M243" s="73"/>
      <c r="O243" s="10"/>
    </row>
    <row r="244" spans="1:19" x14ac:dyDescent="0.25">
      <c r="B244" s="16"/>
      <c r="C244" s="35"/>
      <c r="D244" s="35"/>
      <c r="E244" s="36"/>
      <c r="F244" s="36"/>
      <c r="G244" s="36"/>
      <c r="H244" s="36"/>
      <c r="I244" s="36"/>
      <c r="J244" s="36"/>
      <c r="K244" s="36"/>
      <c r="L244" s="17"/>
      <c r="M244" s="10"/>
    </row>
    <row r="245" spans="1:19" x14ac:dyDescent="0.25">
      <c r="B245" s="530" t="str">
        <f>IF(Intro!$G$20="English",O245,P245)</f>
        <v>Indiquez le volume des importations et le stock de clôture au Canada des marchandises provenant de l'exportateur décrit ci-dessus :</v>
      </c>
      <c r="C245" s="531"/>
      <c r="D245" s="531"/>
      <c r="E245" s="531"/>
      <c r="F245" s="531"/>
      <c r="G245" s="531"/>
      <c r="H245" s="531"/>
      <c r="I245" s="531"/>
      <c r="J245" s="531"/>
      <c r="K245" s="531"/>
      <c r="L245" s="532"/>
      <c r="M245" s="10"/>
      <c r="O245" s="18" t="s">
        <v>194</v>
      </c>
      <c r="P245" s="10" t="s">
        <v>404</v>
      </c>
    </row>
    <row r="246" spans="1:19" x14ac:dyDescent="0.25">
      <c r="B246" s="247"/>
      <c r="C246" s="248"/>
      <c r="D246" s="35"/>
      <c r="E246" s="36"/>
      <c r="F246" s="36"/>
      <c r="G246" s="36"/>
      <c r="H246" s="36"/>
      <c r="I246" s="36"/>
      <c r="J246" s="36"/>
      <c r="K246" s="36"/>
      <c r="L246" s="17"/>
      <c r="M246" s="10"/>
      <c r="O246" s="18"/>
    </row>
    <row r="247" spans="1:19" x14ac:dyDescent="0.25">
      <c r="B247" s="247"/>
      <c r="C247" s="248"/>
      <c r="D247" s="35"/>
      <c r="E247" s="254" t="str">
        <f>IF(Intro!$G$20="English",Variables!B83,Variables!C83)</f>
        <v>T2 2024</v>
      </c>
      <c r="F247" s="254" t="str">
        <f>IF(Intro!$G$20="English",Variables!B84,Variables!C84)</f>
        <v>T3 2024</v>
      </c>
      <c r="G247" s="254" t="str">
        <f>IF(Intro!$G$20="English",Variables!B74,Variables!C74)</f>
        <v>T4 2024</v>
      </c>
      <c r="H247" s="254" t="str">
        <f>IF(Intro!$G$20="English",Variables!B75,Variables!C75)</f>
        <v>T1 2025</v>
      </c>
      <c r="I247" s="254" t="str">
        <f>IF(Intro!$G$20="English",Variables!B76,Variables!C76)</f>
        <v>T2 2025</v>
      </c>
      <c r="J247" s="254" t="str">
        <f>IF(Intro!$G$20="English",Variables!B77,Variables!C77)</f>
        <v>T3 2025</v>
      </c>
      <c r="K247" s="266" t="str">
        <f>IF(Intro!$G$20="English",Variables!B78,Variables!C78)</f>
        <v>T4 2025</v>
      </c>
      <c r="L247" s="266" t="str">
        <f>IF(Intro!$G$20="English",Variables!B79,Variables!C79)</f>
        <v>T1 2026</v>
      </c>
      <c r="M247" s="10"/>
      <c r="O247" s="18"/>
    </row>
    <row r="248" spans="1:19" x14ac:dyDescent="0.25">
      <c r="B248" s="745" t="str">
        <f>B237</f>
        <v>Importations</v>
      </c>
      <c r="C248" s="746"/>
      <c r="D248" s="259" t="str">
        <f>C237</f>
        <v>tonnes</v>
      </c>
      <c r="E248" s="181"/>
      <c r="F248" s="181"/>
      <c r="G248" s="181"/>
      <c r="H248" s="181"/>
      <c r="I248" s="181"/>
      <c r="J248" s="181"/>
      <c r="K248" s="181"/>
      <c r="L248" s="181"/>
      <c r="M248" s="10"/>
    </row>
    <row r="249" spans="1:19" x14ac:dyDescent="0.25">
      <c r="B249" s="745" t="str">
        <f>IF(Intro!$G$20="English",O249,P249)</f>
        <v>Stock de clôture</v>
      </c>
      <c r="C249" s="746"/>
      <c r="D249" s="259" t="str">
        <f>C237</f>
        <v>tonnes</v>
      </c>
      <c r="E249" s="181"/>
      <c r="F249" s="181"/>
      <c r="G249" s="181"/>
      <c r="H249" s="181"/>
      <c r="I249" s="181"/>
      <c r="J249" s="181"/>
      <c r="K249" s="181"/>
      <c r="L249" s="181"/>
      <c r="M249" s="10"/>
      <c r="O249" s="10" t="s">
        <v>195</v>
      </c>
      <c r="P249" s="10" t="s">
        <v>403</v>
      </c>
    </row>
    <row r="250" spans="1:19" x14ac:dyDescent="0.25">
      <c r="B250" s="247"/>
      <c r="C250" s="248"/>
      <c r="D250" s="248"/>
      <c r="E250" s="29"/>
      <c r="F250" s="29"/>
      <c r="G250" s="29"/>
      <c r="H250" s="29"/>
      <c r="I250" s="29"/>
      <c r="J250" s="29"/>
      <c r="K250" s="29"/>
      <c r="L250" s="30"/>
      <c r="M250" s="10"/>
    </row>
    <row r="251" spans="1:19" x14ac:dyDescent="0.25">
      <c r="B251" s="527" t="str">
        <f>IF(Intro!$G$20="English",O251,P251)</f>
        <v>Dans le tableau ci-dessous, « Erreur » signifie que la somme des importations trimestrielles déclarées ci-dessus dépasse les importations annuelles déclarées à la question 1. Par conséquent, veuillez modifier les données si nécessaire.</v>
      </c>
      <c r="C251" s="528"/>
      <c r="D251" s="528"/>
      <c r="E251" s="528"/>
      <c r="F251" s="528"/>
      <c r="G251" s="528"/>
      <c r="H251" s="528"/>
      <c r="I251" s="528"/>
      <c r="J251" s="528"/>
      <c r="K251" s="528"/>
      <c r="L251" s="529"/>
      <c r="M251" s="10"/>
      <c r="O251" s="10" t="s">
        <v>457</v>
      </c>
      <c r="P251" s="10" t="s">
        <v>458</v>
      </c>
      <c r="S251" s="38"/>
    </row>
    <row r="252" spans="1:19" x14ac:dyDescent="0.25">
      <c r="B252" s="527"/>
      <c r="C252" s="528"/>
      <c r="D252" s="528"/>
      <c r="E252" s="528"/>
      <c r="F252" s="528"/>
      <c r="G252" s="528"/>
      <c r="H252" s="528"/>
      <c r="I252" s="528"/>
      <c r="J252" s="528"/>
      <c r="K252" s="528"/>
      <c r="L252" s="529"/>
      <c r="M252" s="10"/>
      <c r="S252" s="38"/>
    </row>
    <row r="253" spans="1:19" x14ac:dyDescent="0.25">
      <c r="B253" s="244"/>
      <c r="C253" s="245"/>
      <c r="D253" s="245"/>
      <c r="E253" s="245"/>
      <c r="F253" s="245"/>
      <c r="G253" s="245"/>
      <c r="H253" s="245"/>
      <c r="I253" s="245"/>
      <c r="J253" s="245"/>
      <c r="K253" s="245"/>
      <c r="L253" s="246"/>
      <c r="M253" s="10"/>
      <c r="S253" s="38"/>
    </row>
    <row r="254" spans="1:19" x14ac:dyDescent="0.25">
      <c r="B254" s="192"/>
      <c r="C254" s="179"/>
      <c r="D254" s="194"/>
      <c r="E254" s="45"/>
      <c r="F254" s="251">
        <f>G254-1</f>
        <v>2025</v>
      </c>
      <c r="G254" s="251">
        <f>Variables!B8</f>
        <v>2026</v>
      </c>
      <c r="H254" s="193"/>
      <c r="I254" s="225"/>
      <c r="J254" s="225"/>
      <c r="K254" s="225"/>
      <c r="L254" s="160"/>
      <c r="M254" s="10"/>
      <c r="O254" s="18"/>
    </row>
    <row r="255" spans="1:19" ht="14.45" customHeight="1" x14ac:dyDescent="0.25">
      <c r="B255" s="192"/>
      <c r="C255" s="199"/>
      <c r="D255" s="781" t="str">
        <f>B221</f>
        <v>Vérification - volume</v>
      </c>
      <c r="E255" s="782"/>
      <c r="F255" s="187" t="str">
        <f>IF(SUM(H248+I248+J248+K248)&gt;I26,Variables!$D$67,Variables!$D$68)</f>
        <v>Correct</v>
      </c>
      <c r="G255" s="187" t="str">
        <f>IF(SUM(L248)&gt;K26,Variables!$D$67,Variables!$D$68)</f>
        <v>Correct</v>
      </c>
      <c r="H255" s="193"/>
      <c r="I255" s="225"/>
      <c r="J255" s="225"/>
      <c r="K255" s="225"/>
      <c r="L255" s="160"/>
      <c r="M255" s="10"/>
    </row>
    <row r="256" spans="1:19" s="44" customFormat="1" x14ac:dyDescent="0.25">
      <c r="A256" s="92"/>
      <c r="B256" s="195"/>
      <c r="C256" s="196"/>
      <c r="D256" s="197"/>
      <c r="E256" s="197"/>
      <c r="F256" s="197"/>
      <c r="G256" s="197"/>
      <c r="H256" s="197"/>
      <c r="I256" s="197"/>
      <c r="J256" s="197"/>
      <c r="K256" s="197"/>
      <c r="L256" s="198"/>
      <c r="N256" s="78"/>
    </row>
    <row r="257" spans="1:18" s="207" customFormat="1" x14ac:dyDescent="0.25">
      <c r="A257" s="7"/>
      <c r="B257" s="21" t="s">
        <v>20</v>
      </c>
      <c r="C257" s="22"/>
      <c r="D257" s="22"/>
      <c r="E257" s="23"/>
      <c r="F257" s="23"/>
      <c r="G257" s="23"/>
      <c r="H257" s="23"/>
      <c r="I257" s="23"/>
      <c r="J257" s="23"/>
      <c r="K257" s="23"/>
      <c r="L257" s="24"/>
      <c r="M257" s="73"/>
    </row>
    <row r="258" spans="1:18" s="38" customFormat="1" x14ac:dyDescent="0.25">
      <c r="A258" s="49"/>
      <c r="B258" s="53"/>
      <c r="C258" s="93"/>
      <c r="D258" s="93"/>
      <c r="E258" s="93"/>
      <c r="F258" s="93"/>
      <c r="G258" s="93"/>
      <c r="H258" s="93"/>
      <c r="I258" s="93"/>
      <c r="J258" s="93"/>
      <c r="K258" s="93"/>
      <c r="L258" s="54"/>
      <c r="O258" s="10"/>
      <c r="P258" s="10"/>
      <c r="Q258" s="10"/>
      <c r="R258" s="10"/>
    </row>
    <row r="259" spans="1:18" s="38" customFormat="1" x14ac:dyDescent="0.25">
      <c r="A259" s="49"/>
      <c r="B259" s="527" t="str">
        <f>IF(Intro!$G$20="English",O259,P259)</f>
        <v>Décrivez tous les facteurs (par exemple, les retards d’expédition, la saisonnalité, etc.) qui pourraient expliquer la tendance générale des volumes d’importation trimestriels et des stocks finals de votre entreprise, comme indiqué dans la question 6.</v>
      </c>
      <c r="C259" s="528"/>
      <c r="D259" s="528"/>
      <c r="E259" s="528"/>
      <c r="F259" s="528"/>
      <c r="G259" s="528"/>
      <c r="H259" s="528"/>
      <c r="I259" s="528"/>
      <c r="J259" s="528"/>
      <c r="K259" s="528"/>
      <c r="L259" s="529"/>
      <c r="O259" s="10" t="s">
        <v>375</v>
      </c>
      <c r="P259" s="10" t="s">
        <v>376</v>
      </c>
      <c r="Q259" s="10"/>
      <c r="R259" s="10"/>
    </row>
    <row r="260" spans="1:18" s="38" customFormat="1" x14ac:dyDescent="0.25">
      <c r="A260" s="49"/>
      <c r="B260" s="527"/>
      <c r="C260" s="528"/>
      <c r="D260" s="528"/>
      <c r="E260" s="528"/>
      <c r="F260" s="528"/>
      <c r="G260" s="528"/>
      <c r="H260" s="528"/>
      <c r="I260" s="528"/>
      <c r="J260" s="528"/>
      <c r="K260" s="528"/>
      <c r="L260" s="529"/>
      <c r="O260" s="10"/>
      <c r="P260" s="10"/>
      <c r="Q260" s="10"/>
      <c r="R260" s="10"/>
    </row>
    <row r="261" spans="1:18" s="38" customFormat="1" x14ac:dyDescent="0.25">
      <c r="A261" s="49"/>
      <c r="B261" s="53"/>
      <c r="C261" s="93"/>
      <c r="D261" s="93"/>
      <c r="E261" s="93"/>
      <c r="F261" s="93"/>
      <c r="G261" s="93"/>
      <c r="H261" s="93"/>
      <c r="I261" s="93"/>
      <c r="J261" s="93"/>
      <c r="K261" s="93"/>
      <c r="L261" s="54"/>
      <c r="O261" s="10"/>
      <c r="P261" s="10"/>
      <c r="Q261" s="10"/>
      <c r="R261" s="10"/>
    </row>
    <row r="262" spans="1:18" s="207" customFormat="1" x14ac:dyDescent="0.25">
      <c r="A262" s="8"/>
      <c r="B262" s="663"/>
      <c r="C262" s="664"/>
      <c r="D262" s="664"/>
      <c r="E262" s="664"/>
      <c r="F262" s="664"/>
      <c r="G262" s="664"/>
      <c r="H262" s="664"/>
      <c r="I262" s="664"/>
      <c r="J262" s="664"/>
      <c r="K262" s="664"/>
      <c r="L262" s="665"/>
      <c r="M262" s="38"/>
    </row>
    <row r="263" spans="1:18" s="207" customFormat="1" x14ac:dyDescent="0.25">
      <c r="A263" s="8"/>
      <c r="B263" s="663"/>
      <c r="C263" s="664"/>
      <c r="D263" s="664"/>
      <c r="E263" s="664"/>
      <c r="F263" s="664"/>
      <c r="G263" s="664"/>
      <c r="H263" s="664"/>
      <c r="I263" s="664"/>
      <c r="J263" s="664"/>
      <c r="K263" s="664"/>
      <c r="L263" s="665"/>
      <c r="M263" s="38"/>
    </row>
    <row r="264" spans="1:18" s="207" customFormat="1" x14ac:dyDescent="0.25">
      <c r="A264" s="8"/>
      <c r="B264" s="663"/>
      <c r="C264" s="664"/>
      <c r="D264" s="664"/>
      <c r="E264" s="664"/>
      <c r="F264" s="664"/>
      <c r="G264" s="664"/>
      <c r="H264" s="664"/>
      <c r="I264" s="664"/>
      <c r="J264" s="664"/>
      <c r="K264" s="664"/>
      <c r="L264" s="665"/>
      <c r="M264" s="38"/>
    </row>
    <row r="265" spans="1:18" s="207" customFormat="1" x14ac:dyDescent="0.25">
      <c r="A265" s="8"/>
      <c r="B265" s="663"/>
      <c r="C265" s="664"/>
      <c r="D265" s="664"/>
      <c r="E265" s="664"/>
      <c r="F265" s="664"/>
      <c r="G265" s="664"/>
      <c r="H265" s="664"/>
      <c r="I265" s="664"/>
      <c r="J265" s="664"/>
      <c r="K265" s="664"/>
      <c r="L265" s="665"/>
      <c r="M265" s="38"/>
    </row>
    <row r="266" spans="1:18" s="207" customFormat="1" x14ac:dyDescent="0.25">
      <c r="A266" s="8"/>
      <c r="B266" s="663"/>
      <c r="C266" s="664"/>
      <c r="D266" s="664"/>
      <c r="E266" s="664"/>
      <c r="F266" s="664"/>
      <c r="G266" s="664"/>
      <c r="H266" s="664"/>
      <c r="I266" s="664"/>
      <c r="J266" s="664"/>
      <c r="K266" s="664"/>
      <c r="L266" s="665"/>
      <c r="M266" s="38"/>
    </row>
    <row r="267" spans="1:18" s="207" customFormat="1" x14ac:dyDescent="0.25">
      <c r="A267" s="8"/>
      <c r="B267" s="663"/>
      <c r="C267" s="664"/>
      <c r="D267" s="664"/>
      <c r="E267" s="664"/>
      <c r="F267" s="664"/>
      <c r="G267" s="664"/>
      <c r="H267" s="664"/>
      <c r="I267" s="664"/>
      <c r="J267" s="664"/>
      <c r="K267" s="664"/>
      <c r="L267" s="665"/>
      <c r="M267" s="38"/>
    </row>
    <row r="268" spans="1:18" s="207" customFormat="1" x14ac:dyDescent="0.25">
      <c r="A268" s="8"/>
      <c r="B268" s="663"/>
      <c r="C268" s="664"/>
      <c r="D268" s="664"/>
      <c r="E268" s="664"/>
      <c r="F268" s="664"/>
      <c r="G268" s="664"/>
      <c r="H268" s="664"/>
      <c r="I268" s="664"/>
      <c r="J268" s="664"/>
      <c r="K268" s="664"/>
      <c r="L268" s="665"/>
      <c r="M268" s="38"/>
    </row>
    <row r="269" spans="1:18" s="207" customFormat="1" x14ac:dyDescent="0.25">
      <c r="A269" s="8"/>
      <c r="B269" s="663"/>
      <c r="C269" s="664"/>
      <c r="D269" s="664"/>
      <c r="E269" s="664"/>
      <c r="F269" s="664"/>
      <c r="G269" s="664"/>
      <c r="H269" s="664"/>
      <c r="I269" s="664"/>
      <c r="J269" s="664"/>
      <c r="K269" s="664"/>
      <c r="L269" s="665"/>
      <c r="M269" s="38"/>
    </row>
    <row r="270" spans="1:18" s="38" customFormat="1" x14ac:dyDescent="0.25">
      <c r="A270" s="49"/>
      <c r="B270" s="50"/>
      <c r="C270" s="51"/>
      <c r="D270" s="51"/>
      <c r="E270" s="51"/>
      <c r="F270" s="51"/>
      <c r="G270" s="51"/>
      <c r="H270" s="51"/>
      <c r="I270" s="51"/>
      <c r="J270" s="51"/>
      <c r="K270" s="51"/>
      <c r="L270" s="52"/>
      <c r="O270" s="10"/>
      <c r="P270" s="10"/>
      <c r="Q270" s="10"/>
      <c r="R270" s="10"/>
    </row>
  </sheetData>
  <sheetProtection algorithmName="SHA-512" hashValue="Cwjm02vfT+190RqC4XbUdfyr3GWglkXgHtat+xPngHTVlwCz2HG6pMWiB40Xdr+dyCzjKlKr6S1i7Ma14A0mwg==" saltValue="YyD9vWbWM7pG+DvNrs30xw==" spinCount="100000" sheet="1" objects="1" scenarios="1" selectLockedCells="1"/>
  <mergeCells count="204">
    <mergeCell ref="B262:L269"/>
    <mergeCell ref="B249:C249"/>
    <mergeCell ref="B251:L252"/>
    <mergeCell ref="D255:E255"/>
    <mergeCell ref="B259:L260"/>
    <mergeCell ref="C239:E239"/>
    <mergeCell ref="F239:G239"/>
    <mergeCell ref="B242:L242"/>
    <mergeCell ref="B243:L243"/>
    <mergeCell ref="B245:L245"/>
    <mergeCell ref="B248:C248"/>
    <mergeCell ref="B228:F228"/>
    <mergeCell ref="B231:L231"/>
    <mergeCell ref="B232:L232"/>
    <mergeCell ref="B234:L234"/>
    <mergeCell ref="F236:G236"/>
    <mergeCell ref="B237:B239"/>
    <mergeCell ref="C237:E237"/>
    <mergeCell ref="F237:G237"/>
    <mergeCell ref="C238:E238"/>
    <mergeCell ref="F238:G238"/>
    <mergeCell ref="B222:F222"/>
    <mergeCell ref="B223:F223"/>
    <mergeCell ref="B224:F224"/>
    <mergeCell ref="B225:F225"/>
    <mergeCell ref="B226:F226"/>
    <mergeCell ref="B227:F227"/>
    <mergeCell ref="B197:L198"/>
    <mergeCell ref="B199:D199"/>
    <mergeCell ref="B200:D200"/>
    <mergeCell ref="B201:D201"/>
    <mergeCell ref="B218:L219"/>
    <mergeCell ref="B221:F221"/>
    <mergeCell ref="B202:L203"/>
    <mergeCell ref="B204:D204"/>
    <mergeCell ref="B205:D205"/>
    <mergeCell ref="B206:D206"/>
    <mergeCell ref="B207:L208"/>
    <mergeCell ref="B209:D209"/>
    <mergeCell ref="B210:D210"/>
    <mergeCell ref="B211:D211"/>
    <mergeCell ref="B212:L213"/>
    <mergeCell ref="B214:D214"/>
    <mergeCell ref="B215:D215"/>
    <mergeCell ref="B216:D216"/>
    <mergeCell ref="B190:D190"/>
    <mergeCell ref="B191:D191"/>
    <mergeCell ref="B192:L193"/>
    <mergeCell ref="B194:D194"/>
    <mergeCell ref="B195:D195"/>
    <mergeCell ref="B196:D196"/>
    <mergeCell ref="B182:L183"/>
    <mergeCell ref="B184:D184"/>
    <mergeCell ref="B185:D185"/>
    <mergeCell ref="B186:D186"/>
    <mergeCell ref="B187:L188"/>
    <mergeCell ref="B189:D189"/>
    <mergeCell ref="B175:D175"/>
    <mergeCell ref="B176:D176"/>
    <mergeCell ref="B177:L178"/>
    <mergeCell ref="B179:D179"/>
    <mergeCell ref="B180:D180"/>
    <mergeCell ref="B181:D181"/>
    <mergeCell ref="B167:L168"/>
    <mergeCell ref="B169:D169"/>
    <mergeCell ref="B170:D170"/>
    <mergeCell ref="B171:D171"/>
    <mergeCell ref="B172:L173"/>
    <mergeCell ref="B174:D174"/>
    <mergeCell ref="B157:F157"/>
    <mergeCell ref="B160:L160"/>
    <mergeCell ref="B161:L161"/>
    <mergeCell ref="B163:L163"/>
    <mergeCell ref="B164:L164"/>
    <mergeCell ref="B166:D166"/>
    <mergeCell ref="B151:F151"/>
    <mergeCell ref="B152:F152"/>
    <mergeCell ref="B153:F153"/>
    <mergeCell ref="B154:F154"/>
    <mergeCell ref="B155:F155"/>
    <mergeCell ref="B156:F156"/>
    <mergeCell ref="B131:L132"/>
    <mergeCell ref="B133:D133"/>
    <mergeCell ref="B134:D134"/>
    <mergeCell ref="B135:D135"/>
    <mergeCell ref="B147:L148"/>
    <mergeCell ref="B150:F150"/>
    <mergeCell ref="B124:D124"/>
    <mergeCell ref="B125:D125"/>
    <mergeCell ref="B126:L127"/>
    <mergeCell ref="B128:D128"/>
    <mergeCell ref="B129:D129"/>
    <mergeCell ref="B130:D130"/>
    <mergeCell ref="B136:L137"/>
    <mergeCell ref="B138:D138"/>
    <mergeCell ref="B139:D139"/>
    <mergeCell ref="B140:D140"/>
    <mergeCell ref="B141:L142"/>
    <mergeCell ref="B143:D143"/>
    <mergeCell ref="B144:D144"/>
    <mergeCell ref="B145:D145"/>
    <mergeCell ref="B116:L117"/>
    <mergeCell ref="B118:D118"/>
    <mergeCell ref="B119:D119"/>
    <mergeCell ref="B120:D120"/>
    <mergeCell ref="B121:L122"/>
    <mergeCell ref="B123:D123"/>
    <mergeCell ref="B109:D109"/>
    <mergeCell ref="B110:D110"/>
    <mergeCell ref="B111:L112"/>
    <mergeCell ref="B113:D113"/>
    <mergeCell ref="B114:D114"/>
    <mergeCell ref="B115:D115"/>
    <mergeCell ref="B101:L102"/>
    <mergeCell ref="B103:D103"/>
    <mergeCell ref="B104:D104"/>
    <mergeCell ref="B105:D105"/>
    <mergeCell ref="B106:L107"/>
    <mergeCell ref="B108:D108"/>
    <mergeCell ref="B93:L93"/>
    <mergeCell ref="B95:D95"/>
    <mergeCell ref="B96:L97"/>
    <mergeCell ref="B98:D98"/>
    <mergeCell ref="B99:D99"/>
    <mergeCell ref="B100:D100"/>
    <mergeCell ref="B84:F84"/>
    <mergeCell ref="B85:F85"/>
    <mergeCell ref="B86:F86"/>
    <mergeCell ref="B87:F87"/>
    <mergeCell ref="B90:L90"/>
    <mergeCell ref="B91:L91"/>
    <mergeCell ref="B75:D75"/>
    <mergeCell ref="B77:L78"/>
    <mergeCell ref="B80:F80"/>
    <mergeCell ref="B81:F81"/>
    <mergeCell ref="B82:F82"/>
    <mergeCell ref="B83:F83"/>
    <mergeCell ref="B69:D69"/>
    <mergeCell ref="B70:D70"/>
    <mergeCell ref="B71:D71"/>
    <mergeCell ref="B72:L72"/>
    <mergeCell ref="B73:D73"/>
    <mergeCell ref="B74:D74"/>
    <mergeCell ref="B63:D63"/>
    <mergeCell ref="B64:L64"/>
    <mergeCell ref="B65:D65"/>
    <mergeCell ref="B66:D66"/>
    <mergeCell ref="B67:D67"/>
    <mergeCell ref="B68:L68"/>
    <mergeCell ref="B57:D57"/>
    <mergeCell ref="B58:D58"/>
    <mergeCell ref="B59:D59"/>
    <mergeCell ref="B60:L60"/>
    <mergeCell ref="B61:D61"/>
    <mergeCell ref="B62:D62"/>
    <mergeCell ref="B49:L49"/>
    <mergeCell ref="B50:L50"/>
    <mergeCell ref="B52:L52"/>
    <mergeCell ref="B53:L53"/>
    <mergeCell ref="B55:D55"/>
    <mergeCell ref="B56:L56"/>
    <mergeCell ref="B41:C43"/>
    <mergeCell ref="D41:F41"/>
    <mergeCell ref="D42:F42"/>
    <mergeCell ref="D43:F43"/>
    <mergeCell ref="B44:C46"/>
    <mergeCell ref="D44:F44"/>
    <mergeCell ref="D45:F45"/>
    <mergeCell ref="D46:F46"/>
    <mergeCell ref="B34:C36"/>
    <mergeCell ref="D34:F34"/>
    <mergeCell ref="D35:F35"/>
    <mergeCell ref="D36:F36"/>
    <mergeCell ref="B37:K37"/>
    <mergeCell ref="B38:C40"/>
    <mergeCell ref="D38:F38"/>
    <mergeCell ref="D39:F39"/>
    <mergeCell ref="D40:F40"/>
    <mergeCell ref="B29:K29"/>
    <mergeCell ref="B30:K30"/>
    <mergeCell ref="B31:C33"/>
    <mergeCell ref="D31:F31"/>
    <mergeCell ref="D32:F32"/>
    <mergeCell ref="D33:F33"/>
    <mergeCell ref="B20:L20"/>
    <mergeCell ref="B22:F22"/>
    <mergeCell ref="G22:K22"/>
    <mergeCell ref="B25:K25"/>
    <mergeCell ref="B26:C28"/>
    <mergeCell ref="D26:F26"/>
    <mergeCell ref="D27:F27"/>
    <mergeCell ref="D28:F28"/>
    <mergeCell ref="B12:L12"/>
    <mergeCell ref="B13:L13"/>
    <mergeCell ref="B14:L14"/>
    <mergeCell ref="B15:L15"/>
    <mergeCell ref="B16:L16"/>
    <mergeCell ref="B19:L19"/>
    <mergeCell ref="B4:L4"/>
    <mergeCell ref="B5:L5"/>
    <mergeCell ref="B6:L6"/>
    <mergeCell ref="B8:L8"/>
    <mergeCell ref="B9:L9"/>
    <mergeCell ref="B10:L10"/>
  </mergeCells>
  <conditionalFormatting sqref="F255:G255">
    <cfRule type="cellIs" dxfId="38" priority="5" operator="equal">
      <formula>"Error"</formula>
    </cfRule>
  </conditionalFormatting>
  <conditionalFormatting sqref="G81:J83 G85:J87">
    <cfRule type="cellIs" dxfId="37" priority="11" operator="equal">
      <formula>"Error"</formula>
    </cfRule>
  </conditionalFormatting>
  <conditionalFormatting sqref="G151:J153">
    <cfRule type="cellIs" dxfId="36" priority="4" operator="equal">
      <formula>"Error"</formula>
    </cfRule>
  </conditionalFormatting>
  <conditionalFormatting sqref="G155:J157">
    <cfRule type="cellIs" dxfId="35" priority="3" operator="equal">
      <formula>"Error"</formula>
    </cfRule>
  </conditionalFormatting>
  <conditionalFormatting sqref="G222:J224">
    <cfRule type="cellIs" dxfId="34" priority="2" operator="equal">
      <formula>"Error"</formula>
    </cfRule>
  </conditionalFormatting>
  <conditionalFormatting sqref="G226:J228">
    <cfRule type="cellIs" dxfId="33" priority="1"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1679166A-96D9-4963-B623-381C2C1CF845}">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62:B264" xr:uid="{457BB757-47CA-4085-AAF9-1BD200D78B02}">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60 F239 E67:L67 E71:L71 E201:L201 E130:L130 E135:L135 E63:L63 E59:L59 E75:L75 E100:L100 E105:L105 E110:L110 E115:L115 E120:L120 E125:L125 G43:K46 E171:L171 E176:L176 E181:L181 E186:L186 E191:L191 E196:L196 E211:L211 G28:K28 E145:L145 G151:J153 G81:J83 G85:J87 G222:J224 G33:K33 G36:K36 G40:K40 F255:G255 E140:L140 G155:J157 E216:L216 E206:L206 G226:J228" xr:uid="{E5C7E426-CD55-4E6A-A19E-16BB03EBF55B}">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21:L122 E248:L249 F237:G238 E199:L200 E194:L195 E189:L190 E184:L185 E179:L180 E174:L175 E169:L170 E133:L134 E128:L129 E123:L124 E118:L119 E113:L114 E108:L109 E103:L104 E98:L99 E73:L74 E69:L70 E65:L66 E61:L62 E57:L58 G34:K35 G31:K32 G26:K27 G41:K42 G38:K39 E143:L144 E138:L139 E214:L215 E209:L210 E204:L205" xr:uid="{BDC4BD49-4620-4CE2-838D-35CAFD9DD1C4}">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47" min="1" max="11" man="1"/>
    <brk id="88" min="1" max="11" man="1"/>
    <brk id="158" min="1" max="11" man="1"/>
    <brk id="229" min="1" max="1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0C78E-A05B-48FC-BDE0-B49E3B6A69D2}">
  <sheetPr>
    <tabColor rgb="FF92D050"/>
    <pageSetUpPr fitToPage="1"/>
  </sheetPr>
  <dimension ref="A1:S270"/>
  <sheetViews>
    <sheetView showGridLines="0" zoomScaleNormal="100" zoomScaleSheetLayoutView="55" workbookViewId="0">
      <selection activeCell="O1" sqref="O1:P1048576"/>
    </sheetView>
  </sheetViews>
  <sheetFormatPr defaultColWidth="9.140625" defaultRowHeight="14.25" x14ac:dyDescent="0.25"/>
  <cols>
    <col min="1" max="1" width="1.85546875" style="7" customWidth="1"/>
    <col min="2" max="12" width="14.5703125" style="1" customWidth="1"/>
    <col min="13" max="13" width="6.140625" style="9" customWidth="1"/>
    <col min="14" max="14" width="9.140625" style="10" customWidth="1"/>
    <col min="15" max="15" width="10.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Pro!B2</f>
        <v>PROTÉGÉ</v>
      </c>
      <c r="C2" s="12"/>
      <c r="D2" s="12"/>
      <c r="O2" s="207" t="s">
        <v>93</v>
      </c>
      <c r="P2" s="207" t="s">
        <v>109</v>
      </c>
    </row>
    <row r="3" spans="1:16" x14ac:dyDescent="0.25">
      <c r="B3" s="13"/>
      <c r="C3" s="13"/>
      <c r="D3" s="13"/>
      <c r="O3" s="2"/>
      <c r="P3" s="2"/>
    </row>
    <row r="4" spans="1:16" s="2" customFormat="1" x14ac:dyDescent="0.25">
      <c r="A4" s="33"/>
      <c r="B4" s="615" t="str">
        <f>Info!B4</f>
        <v>QUESTIONNAIRE À L'INTENTION DES IMPORTATEURS</v>
      </c>
      <c r="C4" s="616"/>
      <c r="D4" s="616"/>
      <c r="E4" s="616"/>
      <c r="F4" s="616"/>
      <c r="G4" s="616"/>
      <c r="H4" s="616"/>
      <c r="I4" s="616"/>
      <c r="J4" s="616"/>
      <c r="K4" s="616"/>
      <c r="L4" s="617"/>
      <c r="M4" s="25"/>
      <c r="N4" s="25"/>
      <c r="O4" s="19"/>
      <c r="P4" s="19"/>
    </row>
    <row r="5" spans="1:16" s="2" customFormat="1" x14ac:dyDescent="0.25">
      <c r="A5" s="33"/>
      <c r="B5" s="651" t="str">
        <f>Info!B5</f>
        <v>NQ-2026-001</v>
      </c>
      <c r="C5" s="652"/>
      <c r="D5" s="652"/>
      <c r="E5" s="652"/>
      <c r="F5" s="652"/>
      <c r="G5" s="652"/>
      <c r="H5" s="652"/>
      <c r="I5" s="652"/>
      <c r="J5" s="652"/>
      <c r="K5" s="652"/>
      <c r="L5" s="653"/>
      <c r="M5" s="25"/>
      <c r="N5" s="25"/>
      <c r="O5" s="19"/>
      <c r="P5" s="19"/>
    </row>
    <row r="6" spans="1:16" s="6" customFormat="1" x14ac:dyDescent="0.25">
      <c r="A6" s="33"/>
      <c r="B6" s="651" t="str">
        <f>Info!B6</f>
        <v>TUBAGES DE PUITS DE GAZ ET DE PÉTROLE</v>
      </c>
      <c r="C6" s="652"/>
      <c r="D6" s="652"/>
      <c r="E6" s="652"/>
      <c r="F6" s="652"/>
      <c r="G6" s="652"/>
      <c r="H6" s="652"/>
      <c r="I6" s="652"/>
      <c r="J6" s="652"/>
      <c r="K6" s="652"/>
      <c r="L6" s="653"/>
      <c r="M6" s="19"/>
      <c r="N6" s="19"/>
      <c r="O6" s="15"/>
      <c r="P6" s="15"/>
    </row>
    <row r="7" spans="1:16" s="6" customFormat="1" x14ac:dyDescent="0.25">
      <c r="A7" s="33"/>
      <c r="B7" s="154"/>
      <c r="C7" s="155"/>
      <c r="D7" s="155"/>
      <c r="E7" s="155"/>
      <c r="F7" s="155"/>
      <c r="G7" s="155"/>
      <c r="H7" s="155"/>
      <c r="I7" s="155"/>
      <c r="J7" s="155"/>
      <c r="K7" s="155"/>
      <c r="L7" s="156"/>
      <c r="M7" s="19"/>
      <c r="N7" s="19"/>
      <c r="O7" s="20"/>
    </row>
    <row r="8" spans="1:16" s="6" customFormat="1" x14ac:dyDescent="0.25">
      <c r="A8" s="33"/>
      <c r="B8" s="657" t="str">
        <f>Public!B8</f>
        <v>Les marchandises dans les questions suivantes font référence aux marchandises comme définies dans la description du produit de l'onglet Intro.</v>
      </c>
      <c r="C8" s="658"/>
      <c r="D8" s="658"/>
      <c r="E8" s="658"/>
      <c r="F8" s="658"/>
      <c r="G8" s="658"/>
      <c r="H8" s="658"/>
      <c r="I8" s="658"/>
      <c r="J8" s="658"/>
      <c r="K8" s="658"/>
      <c r="L8" s="659"/>
      <c r="M8" s="19"/>
      <c r="N8" s="19"/>
      <c r="O8" s="15"/>
      <c r="P8" s="15"/>
    </row>
    <row r="9" spans="1:16" s="6" customFormat="1" x14ac:dyDescent="0.25">
      <c r="A9" s="33"/>
      <c r="B9" s="657" t="str">
        <f>Public!B9</f>
        <v>Des informations sur le produit et un glossaire de termes sont disponibles dans l'onglet Info.</v>
      </c>
      <c r="C9" s="658"/>
      <c r="D9" s="658"/>
      <c r="E9" s="658"/>
      <c r="F9" s="658"/>
      <c r="G9" s="658"/>
      <c r="H9" s="658"/>
      <c r="I9" s="658"/>
      <c r="J9" s="658"/>
      <c r="K9" s="658"/>
      <c r="L9" s="659"/>
      <c r="M9" s="19"/>
      <c r="N9" s="19"/>
      <c r="O9" s="15"/>
    </row>
    <row r="10" spans="1:16" s="6" customFormat="1" x14ac:dyDescent="0.25">
      <c r="A10" s="33"/>
      <c r="B10" s="657" t="str">
        <f>Pro!B12</f>
        <v>Pour les questions de cet onglet, notez ce qui suit :</v>
      </c>
      <c r="C10" s="658"/>
      <c r="D10" s="658"/>
      <c r="E10" s="658"/>
      <c r="F10" s="658"/>
      <c r="G10" s="658"/>
      <c r="H10" s="658"/>
      <c r="I10" s="658"/>
      <c r="J10" s="658"/>
      <c r="K10" s="658"/>
      <c r="L10" s="659"/>
      <c r="M10" s="19"/>
      <c r="N10" s="19"/>
      <c r="O10" s="15"/>
      <c r="P10" s="15"/>
    </row>
    <row r="11" spans="1:16" s="6" customFormat="1" ht="5.25" customHeight="1" x14ac:dyDescent="0.25">
      <c r="A11" s="33"/>
      <c r="B11" s="262"/>
      <c r="C11" s="263"/>
      <c r="D11" s="263"/>
      <c r="E11" s="263"/>
      <c r="F11" s="263"/>
      <c r="G11" s="263"/>
      <c r="H11" s="263"/>
      <c r="I11" s="263"/>
      <c r="J11" s="263"/>
      <c r="K11" s="263"/>
      <c r="L11" s="264"/>
      <c r="M11" s="19"/>
      <c r="N11" s="19"/>
      <c r="O11" s="15"/>
      <c r="P11" s="15"/>
    </row>
    <row r="12" spans="1:16" s="6" customFormat="1" ht="27" customHeight="1" x14ac:dyDescent="0.25">
      <c r="A12" s="33"/>
      <c r="B12" s="721" t="str">
        <f>Pro!B13</f>
        <v xml:space="preserve">• Veuillez indiquer seulement les ventes effectuées à partir des importations de votre entreprise. Les ventes de marchandises achetées auprès de producteurs canadiens doivent être exclues. </v>
      </c>
      <c r="C12" s="722"/>
      <c r="D12" s="722"/>
      <c r="E12" s="722"/>
      <c r="F12" s="722"/>
      <c r="G12" s="722"/>
      <c r="H12" s="722"/>
      <c r="I12" s="722"/>
      <c r="J12" s="722"/>
      <c r="K12" s="722"/>
      <c r="L12" s="723"/>
      <c r="M12" s="19"/>
      <c r="N12" s="19"/>
      <c r="O12" s="15"/>
      <c r="P12" s="15"/>
    </row>
    <row r="13" spans="1:16" s="6" customFormat="1" x14ac:dyDescent="0.25">
      <c r="A13" s="33"/>
      <c r="B13" s="657" t="str">
        <f>Pro!B14</f>
        <v>• Déclarez toutes les ventes aux entreprises associées canadiennes et étrangères.</v>
      </c>
      <c r="C13" s="658"/>
      <c r="D13" s="658"/>
      <c r="E13" s="658"/>
      <c r="F13" s="658"/>
      <c r="G13" s="658"/>
      <c r="H13" s="658"/>
      <c r="I13" s="658"/>
      <c r="J13" s="658"/>
      <c r="K13" s="658"/>
      <c r="L13" s="659"/>
      <c r="M13" s="19"/>
      <c r="N13" s="19"/>
      <c r="O13" s="15"/>
      <c r="P13" s="15"/>
    </row>
    <row r="14" spans="1:16" s="6" customFormat="1" x14ac:dyDescent="0.25">
      <c r="A14" s="33"/>
      <c r="B14" s="657" t="str">
        <f>Pro!B15</f>
        <v>• Déclarez toutes les ventes à compter de la date de l’expédition au client ou à son entrepôt.</v>
      </c>
      <c r="C14" s="658"/>
      <c r="D14" s="658"/>
      <c r="E14" s="658"/>
      <c r="F14" s="658"/>
      <c r="G14" s="658"/>
      <c r="H14" s="658"/>
      <c r="I14" s="658"/>
      <c r="J14" s="658"/>
      <c r="K14" s="658"/>
      <c r="L14" s="659"/>
      <c r="M14" s="19"/>
      <c r="N14" s="19"/>
      <c r="O14" s="15"/>
      <c r="P14" s="15"/>
    </row>
    <row r="15" spans="1:16" s="6" customFormat="1" x14ac:dyDescent="0.25">
      <c r="A15" s="33"/>
      <c r="B15" s="657" t="str">
        <f>Pro!B16</f>
        <v>• Déclarez toutes les valeurs en dollars canadiens.</v>
      </c>
      <c r="C15" s="658"/>
      <c r="D15" s="658"/>
      <c r="E15" s="658"/>
      <c r="F15" s="658"/>
      <c r="G15" s="658"/>
      <c r="H15" s="658"/>
      <c r="I15" s="658"/>
      <c r="J15" s="658"/>
      <c r="K15" s="658"/>
      <c r="L15" s="659"/>
      <c r="M15" s="19"/>
      <c r="N15" s="19"/>
      <c r="O15" s="15"/>
      <c r="P15" s="15"/>
    </row>
    <row r="16" spans="1:16" s="6" customFormat="1" x14ac:dyDescent="0.25">
      <c r="A16" s="33"/>
      <c r="B16" s="660" t="str">
        <f>IF(Intro!$G$20="English",O16,P16)</f>
        <v>• Si votre entreprise est un utilisateur final ou un détaillant, elle n’a pas besoin de déclarer ses ventes d’importations ou ses stocks d’importations.</v>
      </c>
      <c r="C16" s="661"/>
      <c r="D16" s="661"/>
      <c r="E16" s="661"/>
      <c r="F16" s="661"/>
      <c r="G16" s="661"/>
      <c r="H16" s="661"/>
      <c r="I16" s="661"/>
      <c r="J16" s="661"/>
      <c r="K16" s="661"/>
      <c r="L16" s="662"/>
      <c r="M16" s="19"/>
      <c r="N16" s="19"/>
      <c r="O16" s="15" t="s">
        <v>263</v>
      </c>
      <c r="P16" s="15" t="s">
        <v>264</v>
      </c>
    </row>
    <row r="17" spans="1:16" s="6" customFormat="1" x14ac:dyDescent="0.25">
      <c r="A17" s="33"/>
      <c r="B17" s="263"/>
      <c r="C17" s="263"/>
      <c r="D17" s="263"/>
      <c r="E17" s="263"/>
      <c r="F17" s="263"/>
      <c r="G17" s="263"/>
      <c r="H17" s="263"/>
      <c r="I17" s="263"/>
      <c r="J17" s="263"/>
      <c r="K17" s="263"/>
      <c r="L17" s="263"/>
      <c r="M17" s="19"/>
      <c r="N17" s="19"/>
      <c r="O17" s="15"/>
      <c r="P17" s="15"/>
    </row>
    <row r="18" spans="1:16" s="6" customFormat="1" x14ac:dyDescent="0.25">
      <c r="A18" s="33"/>
      <c r="B18" s="14"/>
      <c r="C18" s="14"/>
      <c r="D18" s="14"/>
      <c r="E18" s="3"/>
      <c r="F18" s="3"/>
      <c r="G18" s="3"/>
      <c r="H18" s="3"/>
      <c r="I18" s="3"/>
      <c r="J18" s="3"/>
      <c r="K18" s="3"/>
      <c r="L18" s="3"/>
      <c r="O18" s="15"/>
      <c r="P18" s="15"/>
    </row>
    <row r="19" spans="1:16" x14ac:dyDescent="0.25">
      <c r="B19" s="533" t="str">
        <f>IF(Intro!$G$20="English",O19,P19)</f>
        <v>IMPORTATIONS ET VENTES</v>
      </c>
      <c r="C19" s="534"/>
      <c r="D19" s="534"/>
      <c r="E19" s="534"/>
      <c r="F19" s="534"/>
      <c r="G19" s="534"/>
      <c r="H19" s="534"/>
      <c r="I19" s="534"/>
      <c r="J19" s="534"/>
      <c r="K19" s="534"/>
      <c r="L19" s="535"/>
      <c r="M19" s="10"/>
      <c r="O19" s="105" t="s">
        <v>333</v>
      </c>
      <c r="P19" s="105" t="s">
        <v>334</v>
      </c>
    </row>
    <row r="20" spans="1:16" x14ac:dyDescent="0.25">
      <c r="B20" s="671" t="s">
        <v>12</v>
      </c>
      <c r="C20" s="672"/>
      <c r="D20" s="672"/>
      <c r="E20" s="672"/>
      <c r="F20" s="672"/>
      <c r="G20" s="672"/>
      <c r="H20" s="672"/>
      <c r="I20" s="672"/>
      <c r="J20" s="672"/>
      <c r="K20" s="672"/>
      <c r="L20" s="673"/>
      <c r="M20" s="10"/>
    </row>
    <row r="21" spans="1:16" x14ac:dyDescent="0.25">
      <c r="B21" s="16"/>
      <c r="C21" s="35"/>
      <c r="D21" s="35"/>
      <c r="E21" s="36"/>
      <c r="F21" s="36"/>
      <c r="G21" s="36"/>
      <c r="H21" s="36"/>
      <c r="I21" s="36"/>
      <c r="J21" s="36"/>
      <c r="K21" s="36"/>
      <c r="L21" s="17"/>
      <c r="M21" s="10"/>
    </row>
    <row r="22" spans="1:16" ht="15.75" x14ac:dyDescent="0.25">
      <c r="B22" s="713" t="str">
        <f>IF(Intro!$G$20="English",O22,P22)</f>
        <v xml:space="preserve">Indiquez les importations et les ventes de marchandises de votre entreprise de : </v>
      </c>
      <c r="C22" s="715"/>
      <c r="D22" s="715"/>
      <c r="E22" s="715"/>
      <c r="F22" s="715"/>
      <c r="G22" s="739" t="str">
        <f>IF(Intro!$G$20="English",Variables!B50,Variables!C50)</f>
        <v>États-Unis d'Amérique</v>
      </c>
      <c r="H22" s="739"/>
      <c r="I22" s="739"/>
      <c r="J22" s="739"/>
      <c r="K22" s="739"/>
      <c r="L22" s="216"/>
      <c r="M22" s="10"/>
      <c r="O22" s="10" t="s">
        <v>283</v>
      </c>
      <c r="P22" s="10" t="s">
        <v>284</v>
      </c>
    </row>
    <row r="23" spans="1:16" x14ac:dyDescent="0.25">
      <c r="B23" s="131"/>
      <c r="C23" s="132"/>
      <c r="D23" s="132"/>
      <c r="E23" s="132"/>
      <c r="F23" s="132"/>
      <c r="G23" s="36"/>
      <c r="H23" s="36"/>
      <c r="I23" s="36"/>
      <c r="J23" s="36"/>
      <c r="K23" s="36"/>
      <c r="L23" s="17"/>
      <c r="M23" s="10"/>
    </row>
    <row r="24" spans="1:16" x14ac:dyDescent="0.25">
      <c r="B24" s="131"/>
      <c r="C24" s="132"/>
      <c r="D24" s="132"/>
      <c r="E24" s="132"/>
      <c r="F24" s="132"/>
      <c r="G24" s="220">
        <f>Variables!$B$6</f>
        <v>2023</v>
      </c>
      <c r="H24" s="220">
        <f>G24+1</f>
        <v>2024</v>
      </c>
      <c r="I24" s="220">
        <f>H24+1</f>
        <v>2025</v>
      </c>
      <c r="J24" s="220" t="str">
        <f>IF(Intro!$G$20="English",Variables!B9,Variables!C9)</f>
        <v>janv.-mars 2025</v>
      </c>
      <c r="K24" s="220" t="str">
        <f>IF(Intro!$G$20="English",Variables!B10,Variables!C10)</f>
        <v>janv.-mars 2026</v>
      </c>
      <c r="L24" s="71"/>
      <c r="M24" s="10"/>
      <c r="O24" s="18"/>
    </row>
    <row r="25" spans="1:16" s="207" customFormat="1" x14ac:dyDescent="0.25">
      <c r="A25" s="32"/>
      <c r="B25" s="729" t="str">
        <f>IF(Intro!$G$20="English",O25,P25)</f>
        <v>Importations au Canada</v>
      </c>
      <c r="C25" s="730"/>
      <c r="D25" s="730"/>
      <c r="E25" s="730"/>
      <c r="F25" s="730"/>
      <c r="G25" s="730"/>
      <c r="H25" s="730"/>
      <c r="I25" s="730"/>
      <c r="J25" s="730"/>
      <c r="K25" s="730"/>
      <c r="L25" s="71"/>
      <c r="O25" s="26" t="s">
        <v>234</v>
      </c>
      <c r="P25" s="207" t="s">
        <v>235</v>
      </c>
    </row>
    <row r="26" spans="1:16" x14ac:dyDescent="0.25">
      <c r="B26" s="736" t="str">
        <f>IF(Intro!$G$20="English",O26,P26)</f>
        <v>Importations</v>
      </c>
      <c r="C26" s="737"/>
      <c r="D26" s="738" t="str">
        <f>IF(Intro!$G$20="English",Variables!$B$23,Variables!$C$23)</f>
        <v>tonnes</v>
      </c>
      <c r="E26" s="738"/>
      <c r="F26" s="738"/>
      <c r="G26" s="133"/>
      <c r="H26" s="133"/>
      <c r="I26" s="133"/>
      <c r="J26" s="133"/>
      <c r="K26" s="127"/>
      <c r="L26" s="71"/>
      <c r="M26" s="10"/>
      <c r="O26" s="10" t="s">
        <v>91</v>
      </c>
      <c r="P26" s="10" t="s">
        <v>170</v>
      </c>
    </row>
    <row r="27" spans="1:16" x14ac:dyDescent="0.25">
      <c r="B27" s="736"/>
      <c r="C27" s="737"/>
      <c r="D27" s="738" t="str">
        <f>IF(Intro!$G$20="English",O27,P27)</f>
        <v>valeur d'achat nette rendue (CAD)</v>
      </c>
      <c r="E27" s="738"/>
      <c r="F27" s="738"/>
      <c r="G27" s="133"/>
      <c r="H27" s="133"/>
      <c r="I27" s="133"/>
      <c r="J27" s="133"/>
      <c r="K27" s="127"/>
      <c r="L27" s="71"/>
      <c r="M27" s="10"/>
      <c r="O27" s="10" t="s">
        <v>341</v>
      </c>
      <c r="P27" s="10" t="s">
        <v>340</v>
      </c>
    </row>
    <row r="28" spans="1:16" x14ac:dyDescent="0.25">
      <c r="B28" s="736"/>
      <c r="C28" s="737"/>
      <c r="D28" s="738" t="str">
        <f>"$ / "&amp;IF(Intro!$G$20="English",Variables!$B$24,Variables!$C$24)</f>
        <v>$ / tonne</v>
      </c>
      <c r="E28" s="738"/>
      <c r="F28" s="738"/>
      <c r="G28" s="150" t="str">
        <f>IF(G26=0,"-",G27/G26)</f>
        <v>-</v>
      </c>
      <c r="H28" s="150" t="str">
        <f>IF(H26=0,"-",H27/H26)</f>
        <v>-</v>
      </c>
      <c r="I28" s="150" t="str">
        <f t="shared" ref="I28:K28" si="0">IF(I26=0,"-",I27/I26)</f>
        <v>-</v>
      </c>
      <c r="J28" s="150" t="str">
        <f t="shared" si="0"/>
        <v>-</v>
      </c>
      <c r="K28" s="150" t="str">
        <f t="shared" si="0"/>
        <v>-</v>
      </c>
      <c r="L28" s="71"/>
      <c r="M28" s="10"/>
    </row>
    <row r="29" spans="1:16" s="207" customFormat="1" x14ac:dyDescent="0.25">
      <c r="A29" s="32"/>
      <c r="B29" s="731" t="str">
        <f>IF(Intro!$G$20="English",O29,P29)</f>
        <v>Ventes au Canada</v>
      </c>
      <c r="C29" s="732"/>
      <c r="D29" s="732"/>
      <c r="E29" s="732"/>
      <c r="F29" s="732"/>
      <c r="G29" s="732"/>
      <c r="H29" s="732"/>
      <c r="I29" s="732"/>
      <c r="J29" s="732"/>
      <c r="K29" s="732"/>
      <c r="L29" s="71"/>
      <c r="O29" s="26" t="s">
        <v>236</v>
      </c>
      <c r="P29" s="207" t="s">
        <v>237</v>
      </c>
    </row>
    <row r="30" spans="1:16" s="207" customFormat="1" x14ac:dyDescent="0.25">
      <c r="A30" s="32"/>
      <c r="B30" s="731" t="str">
        <f>IF(Intro!$G$20="English",O30,P30)</f>
        <v>Sans soudure</v>
      </c>
      <c r="C30" s="732"/>
      <c r="D30" s="732"/>
      <c r="E30" s="732"/>
      <c r="F30" s="732"/>
      <c r="G30" s="732"/>
      <c r="H30" s="732"/>
      <c r="I30" s="732"/>
      <c r="J30" s="732"/>
      <c r="K30" s="732"/>
      <c r="L30" s="71"/>
      <c r="O30" s="26" t="s">
        <v>485</v>
      </c>
      <c r="P30" s="207" t="s">
        <v>508</v>
      </c>
    </row>
    <row r="31" spans="1:16" x14ac:dyDescent="0.25">
      <c r="B31" s="567" t="str">
        <f>IF(Intro!$G$20="English",O31,P31)</f>
        <v>Ventes aux distributeurs au Canada</v>
      </c>
      <c r="C31" s="568"/>
      <c r="D31" s="738" t="str">
        <f>D26</f>
        <v>tonnes</v>
      </c>
      <c r="E31" s="738"/>
      <c r="F31" s="738"/>
      <c r="G31" s="133"/>
      <c r="H31" s="133"/>
      <c r="I31" s="133"/>
      <c r="J31" s="133"/>
      <c r="K31" s="127"/>
      <c r="L31" s="71"/>
      <c r="M31" s="10"/>
      <c r="O31" s="10" t="str">
        <f>"Sales to "&amp;Variables!$B$26&amp;" in Canada"</f>
        <v>Sales to distributors in Canada</v>
      </c>
      <c r="P31" s="10" t="str">
        <f>"Ventes aux "&amp;Variables!$C$26&amp;" au Canada"</f>
        <v>Ventes aux distributeurs au Canada</v>
      </c>
    </row>
    <row r="32" spans="1:16" x14ac:dyDescent="0.25">
      <c r="B32" s="567"/>
      <c r="C32" s="568"/>
      <c r="D32" s="738" t="str">
        <f>IF(Intro!$G$20="English",O32,P32)</f>
        <v>valeur de vente nette rendue (CAD)</v>
      </c>
      <c r="E32" s="738"/>
      <c r="F32" s="738"/>
      <c r="G32" s="133"/>
      <c r="H32" s="133"/>
      <c r="I32" s="133"/>
      <c r="J32" s="133"/>
      <c r="K32" s="127"/>
      <c r="L32" s="71"/>
      <c r="M32" s="10"/>
      <c r="O32" s="10" t="s">
        <v>343</v>
      </c>
      <c r="P32" s="10" t="s">
        <v>342</v>
      </c>
    </row>
    <row r="33" spans="1:16" ht="15" thickBot="1" x14ac:dyDescent="0.3">
      <c r="B33" s="749"/>
      <c r="C33" s="750"/>
      <c r="D33" s="740" t="str">
        <f>D28</f>
        <v>$ / tonne</v>
      </c>
      <c r="E33" s="740"/>
      <c r="F33" s="740"/>
      <c r="G33" s="150" t="str">
        <f>IF(G31=0,"-",G32/G31)</f>
        <v>-</v>
      </c>
      <c r="H33" s="150" t="str">
        <f>IF(H31=0,"-",H32/H31)</f>
        <v>-</v>
      </c>
      <c r="I33" s="150" t="str">
        <f t="shared" ref="I33:K33" si="1">IF(I31=0,"-",I32/I31)</f>
        <v>-</v>
      </c>
      <c r="J33" s="150" t="str">
        <f t="shared" si="1"/>
        <v>-</v>
      </c>
      <c r="K33" s="150" t="str">
        <f t="shared" si="1"/>
        <v>-</v>
      </c>
      <c r="L33" s="71"/>
      <c r="M33" s="10"/>
      <c r="P33" s="10" t="s">
        <v>520</v>
      </c>
    </row>
    <row r="34" spans="1:16" x14ac:dyDescent="0.25">
      <c r="B34" s="751" t="str">
        <f>IF(Intro!$G$20="English",O34,P34)</f>
        <v>Ventes aux utilisateurs finals au Canada</v>
      </c>
      <c r="C34" s="752"/>
      <c r="D34" s="741" t="str">
        <f t="shared" ref="D34:D35" si="2">D31</f>
        <v>tonnes</v>
      </c>
      <c r="E34" s="741"/>
      <c r="F34" s="741"/>
      <c r="G34" s="133"/>
      <c r="H34" s="133"/>
      <c r="I34" s="133"/>
      <c r="J34" s="133"/>
      <c r="K34" s="127"/>
      <c r="L34" s="71"/>
      <c r="M34" s="10"/>
      <c r="O34" s="10" t="str">
        <f>"Sales to "&amp;Variables!$B$27&amp;" in Canada"</f>
        <v>Sales to end users in Canada</v>
      </c>
      <c r="P34" s="10" t="str">
        <f>"Ventes aux "&amp;Variables!$C$27&amp;" au Canada"</f>
        <v>Ventes aux utilisateurs finals au Canada</v>
      </c>
    </row>
    <row r="35" spans="1:16" x14ac:dyDescent="0.25">
      <c r="B35" s="567"/>
      <c r="C35" s="568"/>
      <c r="D35" s="738" t="str">
        <f t="shared" si="2"/>
        <v>valeur de vente nette rendue (CAD)</v>
      </c>
      <c r="E35" s="738"/>
      <c r="F35" s="738"/>
      <c r="G35" s="133"/>
      <c r="H35" s="133"/>
      <c r="I35" s="133"/>
      <c r="J35" s="133"/>
      <c r="K35" s="127"/>
      <c r="L35" s="71"/>
      <c r="M35" s="10"/>
    </row>
    <row r="36" spans="1:16" ht="15" thickBot="1" x14ac:dyDescent="0.3">
      <c r="B36" s="749"/>
      <c r="C36" s="750"/>
      <c r="D36" s="740" t="str">
        <f>D33</f>
        <v>$ / tonne</v>
      </c>
      <c r="E36" s="740"/>
      <c r="F36" s="740"/>
      <c r="G36" s="150" t="str">
        <f>IF(G34=0,"-",G35/G34)</f>
        <v>-</v>
      </c>
      <c r="H36" s="150" t="str">
        <f>IF(H34=0,"-",H35/H34)</f>
        <v>-</v>
      </c>
      <c r="I36" s="150" t="str">
        <f>IF(I34=0,"-",I35/I34)</f>
        <v>-</v>
      </c>
      <c r="J36" s="150" t="str">
        <f>IF(J34=0,"-",J35/J34)</f>
        <v>-</v>
      </c>
      <c r="K36" s="150" t="str">
        <f>IF(K34=0,"-",K35/K34)</f>
        <v>-</v>
      </c>
      <c r="L36" s="71"/>
      <c r="M36" s="10"/>
    </row>
    <row r="37" spans="1:16" x14ac:dyDescent="0.25">
      <c r="B37" s="731" t="str">
        <f>IF(Intro!$G$20="English",O37,P37)</f>
        <v>Soudé</v>
      </c>
      <c r="C37" s="732"/>
      <c r="D37" s="732"/>
      <c r="E37" s="732"/>
      <c r="F37" s="732"/>
      <c r="G37" s="732"/>
      <c r="H37" s="732"/>
      <c r="I37" s="732"/>
      <c r="J37" s="732"/>
      <c r="K37" s="732"/>
      <c r="L37" s="71"/>
      <c r="M37" s="10"/>
      <c r="O37" s="26" t="s">
        <v>486</v>
      </c>
      <c r="P37" s="207" t="s">
        <v>509</v>
      </c>
    </row>
    <row r="38" spans="1:16" x14ac:dyDescent="0.25">
      <c r="B38" s="567" t="str">
        <f>IF(Intro!$G$20="English",O31,P31)</f>
        <v>Ventes aux distributeurs au Canada</v>
      </c>
      <c r="C38" s="568"/>
      <c r="D38" s="738" t="str">
        <f>D34</f>
        <v>tonnes</v>
      </c>
      <c r="E38" s="738"/>
      <c r="F38" s="738"/>
      <c r="G38" s="133"/>
      <c r="H38" s="133"/>
      <c r="I38" s="133"/>
      <c r="J38" s="133"/>
      <c r="K38" s="127"/>
      <c r="L38" s="71"/>
      <c r="M38" s="10"/>
      <c r="O38" s="10" t="s">
        <v>343</v>
      </c>
      <c r="P38" s="10" t="s">
        <v>342</v>
      </c>
    </row>
    <row r="39" spans="1:16" x14ac:dyDescent="0.25">
      <c r="B39" s="567"/>
      <c r="C39" s="568"/>
      <c r="D39" s="738" t="str">
        <f>IF(Intro!$G$20="English",O38,P38)</f>
        <v>valeur de vente nette rendue (CAD)</v>
      </c>
      <c r="E39" s="738"/>
      <c r="F39" s="738"/>
      <c r="G39" s="133"/>
      <c r="H39" s="133"/>
      <c r="I39" s="133"/>
      <c r="J39" s="133"/>
      <c r="K39" s="127"/>
      <c r="L39" s="71"/>
      <c r="M39" s="10"/>
    </row>
    <row r="40" spans="1:16" ht="15" thickBot="1" x14ac:dyDescent="0.3">
      <c r="B40" s="749"/>
      <c r="C40" s="750"/>
      <c r="D40" s="740" t="str">
        <f>D36</f>
        <v>$ / tonne</v>
      </c>
      <c r="E40" s="740"/>
      <c r="F40" s="740"/>
      <c r="G40" s="150" t="str">
        <f>IF(G38=0,"-",G39/G38)</f>
        <v>-</v>
      </c>
      <c r="H40" s="150" t="str">
        <f>IF(H38=0,"-",H39/H38)</f>
        <v>-</v>
      </c>
      <c r="I40" s="150" t="str">
        <f t="shared" ref="I40:K40" si="3">IF(I38=0,"-",I39/I38)</f>
        <v>-</v>
      </c>
      <c r="J40" s="150" t="str">
        <f t="shared" si="3"/>
        <v>-</v>
      </c>
      <c r="K40" s="150" t="str">
        <f t="shared" si="3"/>
        <v>-</v>
      </c>
      <c r="L40" s="71"/>
      <c r="M40" s="10"/>
      <c r="O40" s="10" t="str">
        <f>"Sales to "&amp;Variables!$B$27&amp;" in Canada"</f>
        <v>Sales to end users in Canada</v>
      </c>
      <c r="P40" s="10" t="str">
        <f>"Ventes aux "&amp;Variables!$C$27&amp;" au Canada"</f>
        <v>Ventes aux utilisateurs finals au Canada</v>
      </c>
    </row>
    <row r="41" spans="1:16" x14ac:dyDescent="0.25">
      <c r="B41" s="751" t="str">
        <f>IF(Intro!$G$20="English",O34,P34)</f>
        <v>Ventes aux utilisateurs finals au Canada</v>
      </c>
      <c r="C41" s="752"/>
      <c r="D41" s="741" t="str">
        <f t="shared" ref="D41:D42" si="4">D38</f>
        <v>tonnes</v>
      </c>
      <c r="E41" s="741"/>
      <c r="F41" s="741"/>
      <c r="G41" s="133"/>
      <c r="H41" s="133"/>
      <c r="I41" s="133"/>
      <c r="J41" s="133"/>
      <c r="K41" s="127"/>
      <c r="L41" s="71"/>
      <c r="M41" s="10"/>
    </row>
    <row r="42" spans="1:16" x14ac:dyDescent="0.25">
      <c r="B42" s="567"/>
      <c r="C42" s="568"/>
      <c r="D42" s="738" t="str">
        <f t="shared" si="4"/>
        <v>valeur de vente nette rendue (CAD)</v>
      </c>
      <c r="E42" s="738"/>
      <c r="F42" s="738"/>
      <c r="G42" s="133"/>
      <c r="H42" s="133"/>
      <c r="I42" s="133"/>
      <c r="J42" s="133"/>
      <c r="K42" s="127"/>
      <c r="L42" s="71"/>
      <c r="M42" s="10"/>
    </row>
    <row r="43" spans="1:16" ht="15" thickBot="1" x14ac:dyDescent="0.3">
      <c r="B43" s="749"/>
      <c r="C43" s="750"/>
      <c r="D43" s="740" t="str">
        <f>D40</f>
        <v>$ / tonne</v>
      </c>
      <c r="E43" s="740"/>
      <c r="F43" s="740"/>
      <c r="G43" s="150" t="str">
        <f>IF(G41=0,"-",G42/G41)</f>
        <v>-</v>
      </c>
      <c r="H43" s="150" t="str">
        <f>IF(H41=0,"-",H42/H41)</f>
        <v>-</v>
      </c>
      <c r="I43" s="150" t="str">
        <f>IF(I41=0,"-",I42/I41)</f>
        <v>-</v>
      </c>
      <c r="J43" s="150" t="str">
        <f>IF(J41=0,"-",J42/J41)</f>
        <v>-</v>
      </c>
      <c r="K43" s="150" t="str">
        <f>IF(K41=0,"-",K42/K41)</f>
        <v>-</v>
      </c>
      <c r="L43" s="71"/>
      <c r="M43" s="10"/>
    </row>
    <row r="44" spans="1:16" x14ac:dyDescent="0.25">
      <c r="B44" s="634" t="str">
        <f>IF(Intro!$G$20="English",O44,P44)</f>
        <v>Ventes totales au Canada</v>
      </c>
      <c r="C44" s="635"/>
      <c r="D44" s="766" t="str">
        <f>D34</f>
        <v>tonnes</v>
      </c>
      <c r="E44" s="766"/>
      <c r="F44" s="766"/>
      <c r="G44" s="135">
        <f t="shared" ref="G44:K45" si="5">G31+G34+G38+G41</f>
        <v>0</v>
      </c>
      <c r="H44" s="135">
        <f t="shared" si="5"/>
        <v>0</v>
      </c>
      <c r="I44" s="135">
        <f t="shared" si="5"/>
        <v>0</v>
      </c>
      <c r="J44" s="135">
        <f t="shared" si="5"/>
        <v>0</v>
      </c>
      <c r="K44" s="135">
        <f t="shared" si="5"/>
        <v>0</v>
      </c>
      <c r="L44" s="71"/>
      <c r="M44" s="10"/>
      <c r="O44" s="10" t="s">
        <v>344</v>
      </c>
      <c r="P44" s="10" t="s">
        <v>345</v>
      </c>
    </row>
    <row r="45" spans="1:16" x14ac:dyDescent="0.25">
      <c r="B45" s="623"/>
      <c r="C45" s="624"/>
      <c r="D45" s="767" t="str">
        <f>D35</f>
        <v>valeur de vente nette rendue (CAD)</v>
      </c>
      <c r="E45" s="767"/>
      <c r="F45" s="767"/>
      <c r="G45" s="134">
        <f t="shared" si="5"/>
        <v>0</v>
      </c>
      <c r="H45" s="134">
        <f t="shared" si="5"/>
        <v>0</v>
      </c>
      <c r="I45" s="134">
        <f t="shared" si="5"/>
        <v>0</v>
      </c>
      <c r="J45" s="134">
        <f t="shared" si="5"/>
        <v>0</v>
      </c>
      <c r="K45" s="134">
        <f t="shared" si="5"/>
        <v>0</v>
      </c>
      <c r="L45" s="71"/>
      <c r="M45" s="10"/>
    </row>
    <row r="46" spans="1:16" x14ac:dyDescent="0.25">
      <c r="B46" s="623"/>
      <c r="C46" s="624"/>
      <c r="D46" s="767" t="str">
        <f>D36</f>
        <v>$ / tonne</v>
      </c>
      <c r="E46" s="767"/>
      <c r="F46" s="767"/>
      <c r="G46" s="150" t="str">
        <f>IF(G44=0,"-",G45/G44)</f>
        <v>-</v>
      </c>
      <c r="H46" s="150" t="str">
        <f>IF(H44=0,"-",H45/H44)</f>
        <v>-</v>
      </c>
      <c r="I46" s="150" t="str">
        <f>IF(I44=0,"-",I45/I44)</f>
        <v>-</v>
      </c>
      <c r="J46" s="150" t="str">
        <f t="shared" ref="J46:K46" si="6">IF(J44=0,"-",J45/J44)</f>
        <v>-</v>
      </c>
      <c r="K46" s="150" t="str">
        <f t="shared" si="6"/>
        <v>-</v>
      </c>
      <c r="L46" s="71"/>
      <c r="M46" s="10"/>
    </row>
    <row r="47" spans="1:16" x14ac:dyDescent="0.25">
      <c r="B47" s="72"/>
      <c r="C47" s="82"/>
      <c r="D47" s="82"/>
      <c r="E47" s="82"/>
      <c r="F47" s="82"/>
      <c r="G47" s="82"/>
      <c r="H47" s="82"/>
      <c r="I47" s="82"/>
      <c r="J47" s="82"/>
      <c r="K47" s="82"/>
      <c r="L47" s="83"/>
      <c r="M47" s="10"/>
    </row>
    <row r="48" spans="1:16" s="207" customFormat="1" x14ac:dyDescent="0.25">
      <c r="A48" s="7"/>
      <c r="B48" s="31"/>
      <c r="C48" s="31"/>
      <c r="D48" s="89"/>
      <c r="E48" s="217"/>
      <c r="F48" s="217"/>
      <c r="G48" s="217"/>
      <c r="H48" s="217"/>
      <c r="I48" s="217"/>
      <c r="J48" s="217"/>
      <c r="K48" s="217"/>
      <c r="L48" s="217"/>
      <c r="M48" s="73"/>
    </row>
    <row r="49" spans="1:16" x14ac:dyDescent="0.25">
      <c r="B49" s="533" t="str">
        <f>IF(Intro!$G$20="English",O49,P49)</f>
        <v>VENTES AU CANADA D'IMPORTATIONS À VOS CINQ PLUS IMPORTANTS CLIENTS</v>
      </c>
      <c r="C49" s="534"/>
      <c r="D49" s="534"/>
      <c r="E49" s="534"/>
      <c r="F49" s="534"/>
      <c r="G49" s="534"/>
      <c r="H49" s="534"/>
      <c r="I49" s="534"/>
      <c r="J49" s="534"/>
      <c r="K49" s="534"/>
      <c r="L49" s="535"/>
      <c r="M49" s="10"/>
      <c r="O49" s="105" t="s">
        <v>335</v>
      </c>
      <c r="P49" s="105" t="s">
        <v>397</v>
      </c>
    </row>
    <row r="50" spans="1:16" s="207" customFormat="1" x14ac:dyDescent="0.25">
      <c r="A50" s="7"/>
      <c r="B50" s="671" t="s">
        <v>15</v>
      </c>
      <c r="C50" s="672"/>
      <c r="D50" s="672"/>
      <c r="E50" s="672"/>
      <c r="F50" s="672"/>
      <c r="G50" s="672"/>
      <c r="H50" s="672"/>
      <c r="I50" s="672"/>
      <c r="J50" s="672"/>
      <c r="K50" s="672"/>
      <c r="L50" s="673"/>
      <c r="M50" s="73"/>
      <c r="O50" s="10"/>
    </row>
    <row r="51" spans="1:16" x14ac:dyDescent="0.25">
      <c r="B51" s="16"/>
      <c r="C51" s="35"/>
      <c r="D51" s="35"/>
      <c r="E51" s="36"/>
      <c r="F51" s="36"/>
      <c r="G51" s="36"/>
      <c r="H51" s="36"/>
      <c r="I51" s="36"/>
      <c r="J51" s="36"/>
      <c r="K51" s="36"/>
      <c r="L51" s="17"/>
      <c r="M51" s="10"/>
    </row>
    <row r="52" spans="1:16" x14ac:dyDescent="0.25">
      <c r="B52" s="530" t="str">
        <f>IF(Intro!$G$20="English",O52,P52)</f>
        <v>Déclarez le volume et la valeur des ventes d'importations au Canada pour chaque compte indiqué ci-dessous :</v>
      </c>
      <c r="C52" s="531"/>
      <c r="D52" s="531"/>
      <c r="E52" s="531"/>
      <c r="F52" s="531"/>
      <c r="G52" s="531"/>
      <c r="H52" s="531"/>
      <c r="I52" s="531"/>
      <c r="J52" s="531"/>
      <c r="K52" s="531"/>
      <c r="L52" s="532"/>
      <c r="M52" s="10"/>
      <c r="O52" s="18" t="s">
        <v>172</v>
      </c>
      <c r="P52" s="10" t="s">
        <v>173</v>
      </c>
    </row>
    <row r="53" spans="1:16" x14ac:dyDescent="0.25">
      <c r="B53" s="530" t="str">
        <f>Pro!B22</f>
        <v>Note - Ne répondez à cette question que si votre entreprise a vendu les marchandises du 1er janvier 2023 au 31 mars 2026.</v>
      </c>
      <c r="C53" s="531"/>
      <c r="D53" s="531"/>
      <c r="E53" s="531"/>
      <c r="F53" s="531"/>
      <c r="G53" s="531"/>
      <c r="H53" s="531"/>
      <c r="I53" s="531"/>
      <c r="J53" s="531"/>
      <c r="K53" s="531"/>
      <c r="L53" s="532"/>
      <c r="M53" s="10"/>
      <c r="O53" s="18"/>
    </row>
    <row r="54" spans="1:16" x14ac:dyDescent="0.25">
      <c r="B54" s="214"/>
      <c r="C54" s="215"/>
      <c r="D54" s="35"/>
      <c r="E54" s="36"/>
      <c r="F54" s="36"/>
      <c r="G54" s="36"/>
      <c r="H54" s="36"/>
      <c r="I54" s="36"/>
      <c r="J54" s="36"/>
      <c r="K54" s="36"/>
      <c r="L54" s="17"/>
      <c r="M54" s="10"/>
      <c r="O54" s="18"/>
    </row>
    <row r="55" spans="1:16" x14ac:dyDescent="0.25">
      <c r="B55" s="772"/>
      <c r="C55" s="773"/>
      <c r="D55" s="774"/>
      <c r="E55" s="218" t="str">
        <f>IF(Intro!$G$20="English","Q","T")&amp;IF(MID(F55,2,1)&lt;&gt;"1",MID(F55,2,1)-1&amp;" - "&amp;MID(F55,6,4),"4 - "&amp;MID(F55,6,4)-1)</f>
        <v>T2 - 2024</v>
      </c>
      <c r="F55" s="218" t="str">
        <f>IF(Intro!$G$20="English","Q","T")&amp;IF(MID(G55,2,1)&lt;&gt;"1",MID(G55,2,1)-1&amp;" - "&amp;MID(G55,6,4),"4 - "&amp;MID(G55,6,4)-1)</f>
        <v>T3 - 2024</v>
      </c>
      <c r="G55" s="218" t="str">
        <f>IF(Intro!$G$20="English","Q","T")&amp;IF(MID(H55,2,1)&lt;&gt;"1",MID(H55,2,1)-1&amp;" - "&amp;MID(H55,6,4),"4 - "&amp;MID(H55,6,4)-1)</f>
        <v>T4 - 2024</v>
      </c>
      <c r="H55" s="218" t="str">
        <f>IF(Intro!$G$20="English","Q","T")&amp;IF(MID(I55,2,1)&lt;&gt;"1",MID(I55,2,1)-1&amp;" - "&amp;MID(I55,6,4),"4 - "&amp;MID(I55,6,4)-1)</f>
        <v>T1 - 2025</v>
      </c>
      <c r="I55" s="218" t="str">
        <f>IF(Intro!$G$20="English","Q","T")&amp;IF(MID(J55,2,1)&lt;&gt;"1",MID(J55,2,1)-1&amp;" - "&amp;MID(J55,6,4),"4 - "&amp;MID(J55,6,4)-1)</f>
        <v>T2 - 2025</v>
      </c>
      <c r="J55" s="218" t="str">
        <f>IF(Intro!$G$20="English","Q","T")&amp;IF(MID(K55,2,1)&lt;&gt;"1",MID(K55,2,1)-1&amp;" - "&amp;MID(K55,6,4),"4 - "&amp;MID(K55,6,4)-1)</f>
        <v>T3 - 2025</v>
      </c>
      <c r="K55" s="218" t="str">
        <f>IF(Intro!$G$20="English","Q","T")&amp;IF(MID(L55,2,1)&lt;&gt;"1",MID(L55,2,1)-1&amp;" - "&amp;MID(L55,6,4),"4 - "&amp;MID(L55,6,4)-1)</f>
        <v>T4 - 2025</v>
      </c>
      <c r="L55" s="219" t="str">
        <f>IF(Intro!$G$20="English",Variables!B29&amp;" - ",Variables!C29&amp;" - ")&amp;Variables!B8</f>
        <v>T1 - 2026</v>
      </c>
      <c r="M55" s="10"/>
      <c r="O55" s="18"/>
    </row>
    <row r="56" spans="1:16" x14ac:dyDescent="0.25">
      <c r="B56" s="733" t="str">
        <f>IF(Intro!$G$20="English",O57,P57)</f>
        <v xml:space="preserve">Client 1 - </v>
      </c>
      <c r="C56" s="734"/>
      <c r="D56" s="734"/>
      <c r="E56" s="734"/>
      <c r="F56" s="734"/>
      <c r="G56" s="734"/>
      <c r="H56" s="734"/>
      <c r="I56" s="734"/>
      <c r="J56" s="734"/>
      <c r="K56" s="734"/>
      <c r="L56" s="735"/>
      <c r="M56" s="10"/>
      <c r="O56" s="18"/>
    </row>
    <row r="57" spans="1:16" x14ac:dyDescent="0.25">
      <c r="B57" s="747" t="str">
        <f>D$31</f>
        <v>tonnes</v>
      </c>
      <c r="C57" s="748"/>
      <c r="D57" s="748"/>
      <c r="E57" s="137"/>
      <c r="F57" s="137"/>
      <c r="G57" s="137"/>
      <c r="H57" s="137"/>
      <c r="I57" s="137"/>
      <c r="J57" s="137"/>
      <c r="K57" s="137"/>
      <c r="L57" s="138"/>
      <c r="M57" s="10"/>
      <c r="O57" s="10" t="str">
        <f>"Account 1 - "&amp;Pro!C119</f>
        <v xml:space="preserve">Account 1 - </v>
      </c>
      <c r="P57" s="10" t="str">
        <f>"Client 1 - "&amp;Pro!C119</f>
        <v xml:space="preserve">Client 1 - </v>
      </c>
    </row>
    <row r="58" spans="1:16" x14ac:dyDescent="0.25">
      <c r="B58" s="747" t="str">
        <f>D$32</f>
        <v>valeur de vente nette rendue (CAD)</v>
      </c>
      <c r="C58" s="748"/>
      <c r="D58" s="748"/>
      <c r="E58" s="137"/>
      <c r="F58" s="137"/>
      <c r="G58" s="137"/>
      <c r="H58" s="137"/>
      <c r="I58" s="137"/>
      <c r="J58" s="137"/>
      <c r="K58" s="137"/>
      <c r="L58" s="138"/>
      <c r="M58" s="10"/>
    </row>
    <row r="59" spans="1:16" x14ac:dyDescent="0.25">
      <c r="B59" s="747" t="str">
        <f>D$33</f>
        <v>$ / tonne</v>
      </c>
      <c r="C59" s="748"/>
      <c r="D59" s="748"/>
      <c r="E59" s="151" t="str">
        <f>IF(E57=0,"-",E58/E57)</f>
        <v>-</v>
      </c>
      <c r="F59" s="151" t="str">
        <f t="shared" ref="F59:L59" si="7">IF(F57=0,"-",F58/F57)</f>
        <v>-</v>
      </c>
      <c r="G59" s="151" t="str">
        <f t="shared" si="7"/>
        <v>-</v>
      </c>
      <c r="H59" s="151" t="str">
        <f t="shared" si="7"/>
        <v>-</v>
      </c>
      <c r="I59" s="151" t="str">
        <f t="shared" si="7"/>
        <v>-</v>
      </c>
      <c r="J59" s="151" t="str">
        <f t="shared" si="7"/>
        <v>-</v>
      </c>
      <c r="K59" s="151" t="str">
        <f t="shared" si="7"/>
        <v>-</v>
      </c>
      <c r="L59" s="152" t="str">
        <f t="shared" si="7"/>
        <v>-</v>
      </c>
      <c r="M59" s="10"/>
    </row>
    <row r="60" spans="1:16" x14ac:dyDescent="0.25">
      <c r="B60" s="733" t="str">
        <f>IF(Intro!$G$20="English",O61,P61)</f>
        <v xml:space="preserve">Client 2 - </v>
      </c>
      <c r="C60" s="734"/>
      <c r="D60" s="734"/>
      <c r="E60" s="734"/>
      <c r="F60" s="734"/>
      <c r="G60" s="734"/>
      <c r="H60" s="734"/>
      <c r="I60" s="734"/>
      <c r="J60" s="734"/>
      <c r="K60" s="734"/>
      <c r="L60" s="735"/>
      <c r="M60" s="10"/>
    </row>
    <row r="61" spans="1:16" x14ac:dyDescent="0.25">
      <c r="B61" s="747" t="str">
        <f>D$31</f>
        <v>tonnes</v>
      </c>
      <c r="C61" s="748"/>
      <c r="D61" s="748"/>
      <c r="E61" s="137"/>
      <c r="F61" s="137"/>
      <c r="G61" s="137"/>
      <c r="H61" s="137"/>
      <c r="I61" s="137"/>
      <c r="J61" s="137"/>
      <c r="K61" s="137"/>
      <c r="L61" s="138"/>
      <c r="M61" s="10"/>
      <c r="O61" s="10" t="str">
        <f>"Account 2 - "&amp;Pro!C120</f>
        <v xml:space="preserve">Account 2 - </v>
      </c>
      <c r="P61" s="10" t="str">
        <f>"Client 2 - "&amp;Pro!C120</f>
        <v xml:space="preserve">Client 2 - </v>
      </c>
    </row>
    <row r="62" spans="1:16" x14ac:dyDescent="0.25">
      <c r="B62" s="747" t="str">
        <f>D$32</f>
        <v>valeur de vente nette rendue (CAD)</v>
      </c>
      <c r="C62" s="748"/>
      <c r="D62" s="748"/>
      <c r="E62" s="137"/>
      <c r="F62" s="137"/>
      <c r="G62" s="137"/>
      <c r="H62" s="137"/>
      <c r="I62" s="137"/>
      <c r="J62" s="137"/>
      <c r="K62" s="137"/>
      <c r="L62" s="138"/>
      <c r="M62" s="10"/>
    </row>
    <row r="63" spans="1:16" x14ac:dyDescent="0.25">
      <c r="B63" s="747" t="str">
        <f>D$33</f>
        <v>$ / tonne</v>
      </c>
      <c r="C63" s="748"/>
      <c r="D63" s="748"/>
      <c r="E63" s="151" t="str">
        <f>IF(E61=0,"-",E62/E61)</f>
        <v>-</v>
      </c>
      <c r="F63" s="151" t="str">
        <f t="shared" ref="F63:L63" si="8">IF(F61=0,"-",F62/F61)</f>
        <v>-</v>
      </c>
      <c r="G63" s="151" t="str">
        <f t="shared" si="8"/>
        <v>-</v>
      </c>
      <c r="H63" s="151" t="str">
        <f t="shared" si="8"/>
        <v>-</v>
      </c>
      <c r="I63" s="151" t="str">
        <f t="shared" si="8"/>
        <v>-</v>
      </c>
      <c r="J63" s="151" t="str">
        <f t="shared" si="8"/>
        <v>-</v>
      </c>
      <c r="K63" s="151" t="str">
        <f t="shared" si="8"/>
        <v>-</v>
      </c>
      <c r="L63" s="152" t="str">
        <f t="shared" si="8"/>
        <v>-</v>
      </c>
      <c r="M63" s="10"/>
    </row>
    <row r="64" spans="1:16" x14ac:dyDescent="0.25">
      <c r="B64" s="733" t="str">
        <f>IF(Intro!$G$20="English",O65,P65)</f>
        <v xml:space="preserve">Client 3 - </v>
      </c>
      <c r="C64" s="734"/>
      <c r="D64" s="734"/>
      <c r="E64" s="734"/>
      <c r="F64" s="734"/>
      <c r="G64" s="734"/>
      <c r="H64" s="734"/>
      <c r="I64" s="734"/>
      <c r="J64" s="734"/>
      <c r="K64" s="734"/>
      <c r="L64" s="735"/>
      <c r="M64" s="10"/>
    </row>
    <row r="65" spans="2:19" x14ac:dyDescent="0.25">
      <c r="B65" s="747" t="str">
        <f>D$31</f>
        <v>tonnes</v>
      </c>
      <c r="C65" s="748"/>
      <c r="D65" s="748"/>
      <c r="E65" s="137"/>
      <c r="F65" s="137"/>
      <c r="G65" s="137"/>
      <c r="H65" s="137"/>
      <c r="I65" s="137"/>
      <c r="J65" s="137"/>
      <c r="K65" s="137"/>
      <c r="L65" s="138"/>
      <c r="M65" s="10"/>
      <c r="O65" s="10" t="str">
        <f>"Account 3 - "&amp;Pro!C121</f>
        <v xml:space="preserve">Account 3 - </v>
      </c>
      <c r="P65" s="10" t="str">
        <f>"Client 3 - "&amp;Pro!C121</f>
        <v xml:space="preserve">Client 3 - </v>
      </c>
    </row>
    <row r="66" spans="2:19" x14ac:dyDescent="0.25">
      <c r="B66" s="747" t="str">
        <f>D$32</f>
        <v>valeur de vente nette rendue (CAD)</v>
      </c>
      <c r="C66" s="748"/>
      <c r="D66" s="748"/>
      <c r="E66" s="137"/>
      <c r="F66" s="137"/>
      <c r="G66" s="137"/>
      <c r="H66" s="137"/>
      <c r="I66" s="137"/>
      <c r="J66" s="137"/>
      <c r="K66" s="137"/>
      <c r="L66" s="138"/>
      <c r="M66" s="10"/>
    </row>
    <row r="67" spans="2:19" x14ac:dyDescent="0.25">
      <c r="B67" s="747" t="str">
        <f>D$33</f>
        <v>$ / tonne</v>
      </c>
      <c r="C67" s="748"/>
      <c r="D67" s="748"/>
      <c r="E67" s="151" t="str">
        <f>IF(E65=0,"-",E66/E65)</f>
        <v>-</v>
      </c>
      <c r="F67" s="151" t="str">
        <f t="shared" ref="F67:L67" si="9">IF(F65=0,"-",F66/F65)</f>
        <v>-</v>
      </c>
      <c r="G67" s="151" t="str">
        <f t="shared" si="9"/>
        <v>-</v>
      </c>
      <c r="H67" s="151" t="str">
        <f t="shared" si="9"/>
        <v>-</v>
      </c>
      <c r="I67" s="151" t="str">
        <f t="shared" si="9"/>
        <v>-</v>
      </c>
      <c r="J67" s="151" t="str">
        <f t="shared" si="9"/>
        <v>-</v>
      </c>
      <c r="K67" s="151" t="str">
        <f t="shared" si="9"/>
        <v>-</v>
      </c>
      <c r="L67" s="152" t="str">
        <f t="shared" si="9"/>
        <v>-</v>
      </c>
      <c r="M67" s="10"/>
    </row>
    <row r="68" spans="2:19" x14ac:dyDescent="0.25">
      <c r="B68" s="733" t="str">
        <f>IF(Intro!$G$20="English",O69,P69)</f>
        <v xml:space="preserve">Client 4 - </v>
      </c>
      <c r="C68" s="734"/>
      <c r="D68" s="734"/>
      <c r="E68" s="734"/>
      <c r="F68" s="734"/>
      <c r="G68" s="734"/>
      <c r="H68" s="734"/>
      <c r="I68" s="734"/>
      <c r="J68" s="734"/>
      <c r="K68" s="734"/>
      <c r="L68" s="735"/>
      <c r="M68" s="10"/>
    </row>
    <row r="69" spans="2:19" x14ac:dyDescent="0.25">
      <c r="B69" s="747" t="str">
        <f>D$31</f>
        <v>tonnes</v>
      </c>
      <c r="C69" s="748"/>
      <c r="D69" s="748"/>
      <c r="E69" s="137"/>
      <c r="F69" s="137"/>
      <c r="G69" s="137"/>
      <c r="H69" s="137"/>
      <c r="I69" s="137"/>
      <c r="J69" s="137"/>
      <c r="K69" s="137"/>
      <c r="L69" s="138"/>
      <c r="M69" s="10"/>
      <c r="O69" s="10" t="str">
        <f>"Account 4 - "&amp;Pro!C122</f>
        <v xml:space="preserve">Account 4 - </v>
      </c>
      <c r="P69" s="10" t="str">
        <f>"Client 4 - "&amp;Pro!C122</f>
        <v xml:space="preserve">Client 4 - </v>
      </c>
    </row>
    <row r="70" spans="2:19" x14ac:dyDescent="0.25">
      <c r="B70" s="747" t="str">
        <f>D$32</f>
        <v>valeur de vente nette rendue (CAD)</v>
      </c>
      <c r="C70" s="748"/>
      <c r="D70" s="748"/>
      <c r="E70" s="137"/>
      <c r="F70" s="137"/>
      <c r="G70" s="137"/>
      <c r="H70" s="137"/>
      <c r="I70" s="137"/>
      <c r="J70" s="137"/>
      <c r="K70" s="137"/>
      <c r="L70" s="138"/>
      <c r="M70" s="10"/>
    </row>
    <row r="71" spans="2:19" x14ac:dyDescent="0.25">
      <c r="B71" s="747" t="str">
        <f>D$33</f>
        <v>$ / tonne</v>
      </c>
      <c r="C71" s="748"/>
      <c r="D71" s="748"/>
      <c r="E71" s="151" t="str">
        <f>IF(E69=0,"-",E70/E69)</f>
        <v>-</v>
      </c>
      <c r="F71" s="151" t="str">
        <f t="shared" ref="F71:L71" si="10">IF(F69=0,"-",F70/F69)</f>
        <v>-</v>
      </c>
      <c r="G71" s="151" t="str">
        <f t="shared" si="10"/>
        <v>-</v>
      </c>
      <c r="H71" s="151" t="str">
        <f t="shared" si="10"/>
        <v>-</v>
      </c>
      <c r="I71" s="151" t="str">
        <f t="shared" si="10"/>
        <v>-</v>
      </c>
      <c r="J71" s="151" t="str">
        <f t="shared" si="10"/>
        <v>-</v>
      </c>
      <c r="K71" s="151" t="str">
        <f t="shared" si="10"/>
        <v>-</v>
      </c>
      <c r="L71" s="152" t="str">
        <f t="shared" si="10"/>
        <v>-</v>
      </c>
      <c r="M71" s="10"/>
    </row>
    <row r="72" spans="2:19" x14ac:dyDescent="0.25">
      <c r="B72" s="733" t="str">
        <f>IF(Intro!$G$20="English",O73,P73)</f>
        <v xml:space="preserve">Client 5 - </v>
      </c>
      <c r="C72" s="734"/>
      <c r="D72" s="734"/>
      <c r="E72" s="734"/>
      <c r="F72" s="734"/>
      <c r="G72" s="734"/>
      <c r="H72" s="734"/>
      <c r="I72" s="734"/>
      <c r="J72" s="734"/>
      <c r="K72" s="734"/>
      <c r="L72" s="735"/>
      <c r="M72" s="10"/>
    </row>
    <row r="73" spans="2:19" x14ac:dyDescent="0.25">
      <c r="B73" s="747" t="str">
        <f>D$31</f>
        <v>tonnes</v>
      </c>
      <c r="C73" s="748"/>
      <c r="D73" s="748"/>
      <c r="E73" s="137"/>
      <c r="F73" s="137"/>
      <c r="G73" s="137"/>
      <c r="H73" s="137"/>
      <c r="I73" s="137"/>
      <c r="J73" s="137"/>
      <c r="K73" s="137"/>
      <c r="L73" s="138"/>
      <c r="M73" s="10"/>
      <c r="O73" s="10" t="str">
        <f>"Account 5 - "&amp;Pro!C123</f>
        <v xml:space="preserve">Account 5 - </v>
      </c>
      <c r="P73" s="10" t="str">
        <f>"Client 5 - "&amp;Pro!C123</f>
        <v xml:space="preserve">Client 5 - </v>
      </c>
    </row>
    <row r="74" spans="2:19" x14ac:dyDescent="0.25">
      <c r="B74" s="747" t="str">
        <f>D$32</f>
        <v>valeur de vente nette rendue (CAD)</v>
      </c>
      <c r="C74" s="748"/>
      <c r="D74" s="748"/>
      <c r="E74" s="137"/>
      <c r="F74" s="137"/>
      <c r="G74" s="137"/>
      <c r="H74" s="137"/>
      <c r="I74" s="137"/>
      <c r="J74" s="137"/>
      <c r="K74" s="137"/>
      <c r="L74" s="138"/>
      <c r="M74" s="10"/>
    </row>
    <row r="75" spans="2:19" x14ac:dyDescent="0.25">
      <c r="B75" s="747" t="str">
        <f>D$33</f>
        <v>$ / tonne</v>
      </c>
      <c r="C75" s="748"/>
      <c r="D75" s="748"/>
      <c r="E75" s="151" t="str">
        <f>IF(E73=0,"-",E74/E73)</f>
        <v>-</v>
      </c>
      <c r="F75" s="151" t="str">
        <f t="shared" ref="F75:L75" si="11">IF(F73=0,"-",F74/F73)</f>
        <v>-</v>
      </c>
      <c r="G75" s="151" t="str">
        <f t="shared" si="11"/>
        <v>-</v>
      </c>
      <c r="H75" s="151" t="str">
        <f t="shared" si="11"/>
        <v>-</v>
      </c>
      <c r="I75" s="151" t="str">
        <f t="shared" si="11"/>
        <v>-</v>
      </c>
      <c r="J75" s="151" t="str">
        <f t="shared" si="11"/>
        <v>-</v>
      </c>
      <c r="K75" s="151" t="str">
        <f t="shared" si="11"/>
        <v>-</v>
      </c>
      <c r="L75" s="152" t="str">
        <f t="shared" si="11"/>
        <v>-</v>
      </c>
      <c r="M75" s="10"/>
    </row>
    <row r="76" spans="2:19" x14ac:dyDescent="0.25">
      <c r="B76" s="214"/>
      <c r="C76" s="215"/>
      <c r="D76" s="215"/>
      <c r="E76" s="29"/>
      <c r="F76" s="29"/>
      <c r="G76" s="29"/>
      <c r="H76" s="29"/>
      <c r="I76" s="29"/>
      <c r="J76" s="29"/>
      <c r="K76" s="29"/>
      <c r="L76" s="30"/>
      <c r="M76" s="10"/>
    </row>
    <row r="77" spans="2:19" x14ac:dyDescent="0.25">
      <c r="B77" s="530" t="str">
        <f>IF(Intro!$G$20="English",O77,P77)</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7" s="531"/>
      <c r="D77" s="531"/>
      <c r="E77" s="531"/>
      <c r="F77" s="531"/>
      <c r="G77" s="531"/>
      <c r="H77" s="531"/>
      <c r="I77" s="531"/>
      <c r="J77" s="531"/>
      <c r="K77" s="531"/>
      <c r="L77" s="532"/>
      <c r="M77" s="10"/>
      <c r="O77" s="10" t="s">
        <v>359</v>
      </c>
      <c r="P77" s="10" t="s">
        <v>360</v>
      </c>
      <c r="S77" s="38"/>
    </row>
    <row r="78" spans="2:19" x14ac:dyDescent="0.25">
      <c r="B78" s="530"/>
      <c r="C78" s="531"/>
      <c r="D78" s="531"/>
      <c r="E78" s="531"/>
      <c r="F78" s="531"/>
      <c r="G78" s="531"/>
      <c r="H78" s="531"/>
      <c r="I78" s="531"/>
      <c r="J78" s="531"/>
      <c r="K78" s="531"/>
      <c r="L78" s="532"/>
      <c r="M78" s="10"/>
      <c r="S78" s="38"/>
    </row>
    <row r="79" spans="2:19" x14ac:dyDescent="0.25">
      <c r="B79" s="214"/>
      <c r="C79" s="215"/>
      <c r="D79" s="215"/>
      <c r="E79" s="29"/>
      <c r="F79" s="29"/>
      <c r="G79" s="29"/>
      <c r="H79" s="29"/>
      <c r="I79" s="29"/>
      <c r="J79" s="29"/>
      <c r="K79" s="29"/>
      <c r="L79" s="30"/>
      <c r="M79" s="10"/>
      <c r="S79" s="38"/>
    </row>
    <row r="80" spans="2:19" ht="14.1" customHeight="1" x14ac:dyDescent="0.25">
      <c r="B80" s="753" t="str">
        <f>Variables!D66</f>
        <v>Vérification - volume</v>
      </c>
      <c r="C80" s="644"/>
      <c r="D80" s="644"/>
      <c r="E80" s="644"/>
      <c r="F80" s="645"/>
      <c r="G80" s="218">
        <f>H80-1</f>
        <v>2024</v>
      </c>
      <c r="H80" s="218">
        <f>Variables!B8-1</f>
        <v>2025</v>
      </c>
      <c r="I80" s="218" t="str">
        <f>J24</f>
        <v>janv.-mars 2025</v>
      </c>
      <c r="J80" s="218" t="str">
        <f>K24</f>
        <v>janv.-mars 2026</v>
      </c>
      <c r="K80" s="225"/>
      <c r="L80" s="226"/>
      <c r="M80" s="10"/>
      <c r="O80" s="10" t="s">
        <v>379</v>
      </c>
      <c r="P80" s="10" t="s">
        <v>380</v>
      </c>
    </row>
    <row r="81" spans="1:16" ht="14.1" customHeight="1" x14ac:dyDescent="0.25">
      <c r="B81" s="757" t="str">
        <f>D31</f>
        <v>tonnes</v>
      </c>
      <c r="C81" s="758"/>
      <c r="D81" s="758"/>
      <c r="E81" s="758"/>
      <c r="F81" s="759"/>
      <c r="G81" s="187" t="str">
        <f>IF(SUM(E57:G57,E61:G61,E65:G65,E69:G69,E73:G73)&gt;H44,Variables!$D$67,Variables!$D$68)</f>
        <v>Correct</v>
      </c>
      <c r="H81" s="187" t="str">
        <f>IF(SUM(H57:K57,H61:K61,H65:K65,H69:K69,H73:K73)&gt;I44,Variables!$D$67,Variables!$D$68)</f>
        <v>Correct</v>
      </c>
      <c r="I81" s="187" t="str">
        <f>IF(SUM(H57,H61,H65,H69,H73)&gt;J44,Variables!$D$67,Variables!$D$68)</f>
        <v>Correct</v>
      </c>
      <c r="J81" s="187" t="str">
        <f>IF(SUM(L57,L61,L65,L69,L73)&gt;K44,Variables!$D$67,Variables!$D$68)</f>
        <v>Correct</v>
      </c>
      <c r="K81" s="225"/>
      <c r="L81" s="226"/>
      <c r="M81" s="10"/>
    </row>
    <row r="82" spans="1:16" ht="26.25" customHeight="1" x14ac:dyDescent="0.25">
      <c r="B82" s="754" t="str">
        <f>IF(Intro!$G$20="English",O82,P82)</f>
        <v>volume - total des ventes au Canada d'importations aux cinq principaux clients (Question 2)</v>
      </c>
      <c r="C82" s="755"/>
      <c r="D82" s="755"/>
      <c r="E82" s="755"/>
      <c r="F82" s="756"/>
      <c r="G82" s="187">
        <f>SUM(E57:G57,E61:G61,E65:G65,E69:G69,E73:G73)</f>
        <v>0</v>
      </c>
      <c r="H82" s="187">
        <f>SUM(H57:K57,H61:K61,H65:K65,H69:K69,H73:K73)</f>
        <v>0</v>
      </c>
      <c r="I82" s="187">
        <f>SUM(H57,H61,H65,H69,H73)</f>
        <v>0</v>
      </c>
      <c r="J82" s="187">
        <f>SUM(L57,L61,L65,L69,L73)</f>
        <v>0</v>
      </c>
      <c r="K82" s="225"/>
      <c r="L82" s="226"/>
      <c r="M82" s="10"/>
      <c r="O82" s="73" t="s">
        <v>439</v>
      </c>
      <c r="P82" s="10" t="s">
        <v>441</v>
      </c>
    </row>
    <row r="83" spans="1:16" ht="14.1" customHeight="1" x14ac:dyDescent="0.25">
      <c r="B83" s="754" t="str">
        <f>IF(Intro!$G$20="English",O83,P83)</f>
        <v>volume - total des ventes au Canada d'importations (Question 1)</v>
      </c>
      <c r="C83" s="755"/>
      <c r="D83" s="755"/>
      <c r="E83" s="755"/>
      <c r="F83" s="756"/>
      <c r="G83" s="187">
        <f>H44</f>
        <v>0</v>
      </c>
      <c r="H83" s="187">
        <f>I44</f>
        <v>0</v>
      </c>
      <c r="I83" s="187">
        <f>J44</f>
        <v>0</v>
      </c>
      <c r="J83" s="187">
        <f>K44</f>
        <v>0</v>
      </c>
      <c r="K83" s="225"/>
      <c r="L83" s="226"/>
      <c r="M83" s="10"/>
      <c r="O83" s="10" t="s">
        <v>440</v>
      </c>
      <c r="P83" s="10" t="s">
        <v>442</v>
      </c>
    </row>
    <row r="84" spans="1:16" ht="14.1" customHeight="1" x14ac:dyDescent="0.25">
      <c r="B84" s="760" t="str">
        <f>Variables!D70</f>
        <v>Vérification - valeur</v>
      </c>
      <c r="C84" s="761"/>
      <c r="D84" s="761"/>
      <c r="E84" s="761"/>
      <c r="F84" s="762"/>
      <c r="G84" s="218">
        <f>G80</f>
        <v>2024</v>
      </c>
      <c r="H84" s="218">
        <f>H80</f>
        <v>2025</v>
      </c>
      <c r="I84" s="218" t="str">
        <f>I80</f>
        <v>janv.-mars 2025</v>
      </c>
      <c r="J84" s="218" t="str">
        <f>J80</f>
        <v>janv.-mars 2026</v>
      </c>
      <c r="K84" s="225"/>
      <c r="L84" s="226"/>
      <c r="M84" s="10"/>
    </row>
    <row r="85" spans="1:16" ht="14.1" customHeight="1" x14ac:dyDescent="0.25">
      <c r="B85" s="783" t="str">
        <f>D32</f>
        <v>valeur de vente nette rendue (CAD)</v>
      </c>
      <c r="C85" s="784"/>
      <c r="D85" s="784"/>
      <c r="E85" s="784"/>
      <c r="F85" s="785"/>
      <c r="G85" s="187" t="str">
        <f>IF(SUM(E58:G58,E62:G62,E66:G66,E70:G70,E74:G74)&gt;H45,Variables!$D$67,Variables!$D$68)</f>
        <v>Correct</v>
      </c>
      <c r="H85" s="187" t="str">
        <f>IF(SUM(H58:K58,H62:K62,H66:K66,H70:K70,H74:K74)&gt;I45,Variables!$D$67,Variables!$D$68)</f>
        <v>Correct</v>
      </c>
      <c r="I85" s="187" t="str">
        <f>IF(SUM(H58,H62,H66,H70,H74)&gt;J45,Variables!$D$67,Variables!$D$68)</f>
        <v>Correct</v>
      </c>
      <c r="J85" s="187" t="str">
        <f>IF(SUM(L58,L62,L66,L70,L74)&gt;K45,Variables!$D$67,Variables!$D$68)</f>
        <v>Correct</v>
      </c>
      <c r="K85" s="225"/>
      <c r="L85" s="226"/>
      <c r="M85" s="10"/>
    </row>
    <row r="86" spans="1:16" ht="14.1" customHeight="1" x14ac:dyDescent="0.25">
      <c r="B86" s="786" t="str">
        <f>IF(Intro!$G$20="English",O86,P86)</f>
        <v>valeur - total des ventes au Canada d'importations aux cinq principaux clients (Question 2)</v>
      </c>
      <c r="C86" s="787"/>
      <c r="D86" s="787"/>
      <c r="E86" s="787"/>
      <c r="F86" s="788"/>
      <c r="G86" s="187">
        <f>SUM(E58:G58,E62:G62,E66:G66,E70:G70,E74:G74)</f>
        <v>0</v>
      </c>
      <c r="H86" s="187">
        <f>SUM(H58:K58,H62:K62,H66:K66,H70:K70,H74:K74)</f>
        <v>0</v>
      </c>
      <c r="I86" s="187">
        <f>SUM(H58,H62,H66,H70,H74)</f>
        <v>0</v>
      </c>
      <c r="J86" s="187">
        <f>SUM(L58,L62,L66,L70,L74)</f>
        <v>0</v>
      </c>
      <c r="K86" s="225"/>
      <c r="L86" s="226"/>
      <c r="M86" s="10"/>
      <c r="O86" s="73" t="s">
        <v>445</v>
      </c>
      <c r="P86" s="10" t="s">
        <v>443</v>
      </c>
    </row>
    <row r="87" spans="1:16" ht="14.1" customHeight="1" x14ac:dyDescent="0.25">
      <c r="B87" s="786" t="str">
        <f>IF(Intro!$G$20="English",O87,P87)</f>
        <v>valeur - total des ventes au Canada d'importations (Question 1)</v>
      </c>
      <c r="C87" s="787"/>
      <c r="D87" s="787"/>
      <c r="E87" s="787"/>
      <c r="F87" s="788"/>
      <c r="G87" s="187">
        <f>H45</f>
        <v>0</v>
      </c>
      <c r="H87" s="187">
        <f>I45</f>
        <v>0</v>
      </c>
      <c r="I87" s="187">
        <f>J45</f>
        <v>0</v>
      </c>
      <c r="J87" s="187">
        <f>K45</f>
        <v>0</v>
      </c>
      <c r="K87" s="225"/>
      <c r="L87" s="226"/>
      <c r="M87" s="10"/>
      <c r="O87" s="10" t="s">
        <v>446</v>
      </c>
      <c r="P87" s="10" t="s">
        <v>444</v>
      </c>
    </row>
    <row r="88" spans="1:16" x14ac:dyDescent="0.25">
      <c r="B88" s="72"/>
      <c r="C88" s="82"/>
      <c r="D88" s="82"/>
      <c r="E88" s="82"/>
      <c r="F88" s="82"/>
      <c r="G88" s="82"/>
      <c r="H88" s="82"/>
      <c r="I88" s="82"/>
      <c r="J88" s="164"/>
      <c r="K88" s="164"/>
      <c r="L88" s="165"/>
      <c r="M88" s="10"/>
    </row>
    <row r="89" spans="1:16" s="207" customFormat="1" x14ac:dyDescent="0.25">
      <c r="A89" s="7"/>
      <c r="B89" s="31"/>
      <c r="C89" s="31"/>
      <c r="D89" s="89"/>
      <c r="E89" s="217"/>
      <c r="F89" s="217"/>
      <c r="G89" s="217"/>
      <c r="H89" s="217"/>
      <c r="I89" s="217"/>
      <c r="J89" s="217"/>
      <c r="K89" s="217"/>
      <c r="L89" s="217"/>
      <c r="M89" s="73"/>
    </row>
    <row r="90" spans="1:16" x14ac:dyDescent="0.25">
      <c r="B90" s="533" t="str">
        <f>IF(Intro!$G$20="English",O90,P90)</f>
        <v>IMPORTATIONS DE PRODUITS DE RÉFÉRENCE</v>
      </c>
      <c r="C90" s="534"/>
      <c r="D90" s="534"/>
      <c r="E90" s="534"/>
      <c r="F90" s="534"/>
      <c r="G90" s="534"/>
      <c r="H90" s="534"/>
      <c r="I90" s="534"/>
      <c r="J90" s="534"/>
      <c r="K90" s="534"/>
      <c r="L90" s="535"/>
      <c r="M90" s="10"/>
      <c r="O90" s="105" t="s">
        <v>332</v>
      </c>
      <c r="P90" s="105" t="s">
        <v>398</v>
      </c>
    </row>
    <row r="91" spans="1:16" x14ac:dyDescent="0.25">
      <c r="B91" s="671" t="s">
        <v>16</v>
      </c>
      <c r="C91" s="672"/>
      <c r="D91" s="672"/>
      <c r="E91" s="672"/>
      <c r="F91" s="672"/>
      <c r="G91" s="672"/>
      <c r="H91" s="672"/>
      <c r="I91" s="672"/>
      <c r="J91" s="672"/>
      <c r="K91" s="672"/>
      <c r="L91" s="673"/>
      <c r="M91" s="10"/>
    </row>
    <row r="92" spans="1:16" x14ac:dyDescent="0.25">
      <c r="B92" s="16"/>
      <c r="C92" s="35"/>
      <c r="D92" s="35"/>
      <c r="E92" s="36"/>
      <c r="F92" s="36"/>
      <c r="G92" s="36"/>
      <c r="H92" s="36"/>
      <c r="I92" s="36"/>
      <c r="J92" s="36"/>
      <c r="K92" s="36"/>
      <c r="L92" s="17"/>
      <c r="M92" s="10"/>
    </row>
    <row r="93" spans="1:16" x14ac:dyDescent="0.25">
      <c r="B93" s="530" t="str">
        <f>IF(Intro!$G$20="English",O93,P93)</f>
        <v>Indiquez le volume et la valeur des importations pour chaque produit de référence :</v>
      </c>
      <c r="C93" s="531"/>
      <c r="D93" s="531"/>
      <c r="E93" s="531"/>
      <c r="F93" s="531"/>
      <c r="G93" s="531"/>
      <c r="H93" s="531"/>
      <c r="I93" s="531"/>
      <c r="J93" s="531"/>
      <c r="K93" s="531"/>
      <c r="L93" s="532"/>
      <c r="M93" s="10"/>
      <c r="O93" s="18" t="s">
        <v>192</v>
      </c>
      <c r="P93" s="10" t="s">
        <v>193</v>
      </c>
    </row>
    <row r="94" spans="1:16" x14ac:dyDescent="0.25">
      <c r="B94" s="214"/>
      <c r="C94" s="215"/>
      <c r="D94" s="35"/>
      <c r="E94" s="36"/>
      <c r="F94" s="36"/>
      <c r="G94" s="36"/>
      <c r="H94" s="36"/>
      <c r="I94" s="36"/>
      <c r="J94" s="36"/>
      <c r="K94" s="36"/>
      <c r="L94" s="17"/>
      <c r="M94" s="10"/>
      <c r="O94" s="18"/>
    </row>
    <row r="95" spans="1:16" x14ac:dyDescent="0.25">
      <c r="B95" s="772"/>
      <c r="C95" s="773"/>
      <c r="D95" s="774"/>
      <c r="E95" s="218" t="str">
        <f t="shared" ref="E95:L95" si="12">E55</f>
        <v>T2 - 2024</v>
      </c>
      <c r="F95" s="218" t="str">
        <f t="shared" si="12"/>
        <v>T3 - 2024</v>
      </c>
      <c r="G95" s="218" t="str">
        <f t="shared" si="12"/>
        <v>T4 - 2024</v>
      </c>
      <c r="H95" s="218" t="str">
        <f t="shared" si="12"/>
        <v>T1 - 2025</v>
      </c>
      <c r="I95" s="218" t="str">
        <f t="shared" si="12"/>
        <v>T2 - 2025</v>
      </c>
      <c r="J95" s="218" t="str">
        <f t="shared" si="12"/>
        <v>T3 - 2025</v>
      </c>
      <c r="K95" s="218" t="str">
        <f t="shared" si="12"/>
        <v>T4 - 2025</v>
      </c>
      <c r="L95" s="219" t="str">
        <f t="shared" si="12"/>
        <v>T1 - 2026</v>
      </c>
      <c r="M95" s="10"/>
      <c r="O95" s="18"/>
    </row>
    <row r="96" spans="1:16" x14ac:dyDescent="0.25">
      <c r="B96" s="768" t="str">
        <f>IF(Intro!$G$20="English",Variables!B30,Variables!C30)</f>
        <v xml:space="preserve">Tubage sans soudure L80 (y compris les améliorations) avec raccord API </v>
      </c>
      <c r="C96" s="641"/>
      <c r="D96" s="641"/>
      <c r="E96" s="641"/>
      <c r="F96" s="641"/>
      <c r="G96" s="641"/>
      <c r="H96" s="641"/>
      <c r="I96" s="641"/>
      <c r="J96" s="641"/>
      <c r="K96" s="641"/>
      <c r="L96" s="769"/>
      <c r="M96" s="10"/>
    </row>
    <row r="97" spans="2:13" x14ac:dyDescent="0.25">
      <c r="B97" s="770"/>
      <c r="C97" s="647"/>
      <c r="D97" s="647"/>
      <c r="E97" s="647"/>
      <c r="F97" s="647"/>
      <c r="G97" s="647"/>
      <c r="H97" s="647"/>
      <c r="I97" s="647"/>
      <c r="J97" s="647"/>
      <c r="K97" s="647"/>
      <c r="L97" s="771"/>
      <c r="M97" s="10"/>
    </row>
    <row r="98" spans="2:13" x14ac:dyDescent="0.25">
      <c r="B98" s="747" t="str">
        <f>D$26</f>
        <v>tonnes</v>
      </c>
      <c r="C98" s="748"/>
      <c r="D98" s="748"/>
      <c r="E98" s="137"/>
      <c r="F98" s="137"/>
      <c r="G98" s="137"/>
      <c r="H98" s="137"/>
      <c r="I98" s="137"/>
      <c r="J98" s="137"/>
      <c r="K98" s="137"/>
      <c r="L98" s="138"/>
      <c r="M98" s="10"/>
    </row>
    <row r="99" spans="2:13" x14ac:dyDescent="0.25">
      <c r="B99" s="747" t="str">
        <f>D$27</f>
        <v>valeur d'achat nette rendue (CAD)</v>
      </c>
      <c r="C99" s="748"/>
      <c r="D99" s="748"/>
      <c r="E99" s="137"/>
      <c r="F99" s="137"/>
      <c r="G99" s="137"/>
      <c r="H99" s="137"/>
      <c r="I99" s="137"/>
      <c r="J99" s="137"/>
      <c r="K99" s="137"/>
      <c r="L99" s="138"/>
      <c r="M99" s="10"/>
    </row>
    <row r="100" spans="2:13" x14ac:dyDescent="0.25">
      <c r="B100" s="747" t="str">
        <f>D$28</f>
        <v>$ / tonne</v>
      </c>
      <c r="C100" s="748"/>
      <c r="D100" s="748"/>
      <c r="E100" s="151" t="str">
        <f t="shared" ref="E100:L100" si="13">IF(E98=0,"-",E99/E98)</f>
        <v>-</v>
      </c>
      <c r="F100" s="151" t="str">
        <f t="shared" si="13"/>
        <v>-</v>
      </c>
      <c r="G100" s="151" t="str">
        <f t="shared" si="13"/>
        <v>-</v>
      </c>
      <c r="H100" s="151" t="str">
        <f t="shared" si="13"/>
        <v>-</v>
      </c>
      <c r="I100" s="151" t="str">
        <f t="shared" si="13"/>
        <v>-</v>
      </c>
      <c r="J100" s="151" t="str">
        <f t="shared" si="13"/>
        <v>-</v>
      </c>
      <c r="K100" s="151" t="str">
        <f t="shared" si="13"/>
        <v>-</v>
      </c>
      <c r="L100" s="152" t="str">
        <f t="shared" si="13"/>
        <v>-</v>
      </c>
      <c r="M100" s="10"/>
    </row>
    <row r="101" spans="2:13" x14ac:dyDescent="0.25">
      <c r="B101" s="768" t="str">
        <f>IF(Intro!$G$20="English",Variables!B31,Variables!C31)</f>
        <v>Tubage soudé L80 (y compris les améliorations) avec raccord API</v>
      </c>
      <c r="C101" s="641"/>
      <c r="D101" s="641"/>
      <c r="E101" s="641"/>
      <c r="F101" s="641"/>
      <c r="G101" s="641"/>
      <c r="H101" s="641"/>
      <c r="I101" s="641"/>
      <c r="J101" s="641"/>
      <c r="K101" s="641"/>
      <c r="L101" s="769"/>
      <c r="M101" s="10"/>
    </row>
    <row r="102" spans="2:13" x14ac:dyDescent="0.25">
      <c r="B102" s="770"/>
      <c r="C102" s="647"/>
      <c r="D102" s="647"/>
      <c r="E102" s="647"/>
      <c r="F102" s="647"/>
      <c r="G102" s="647"/>
      <c r="H102" s="647"/>
      <c r="I102" s="647"/>
      <c r="J102" s="647"/>
      <c r="K102" s="647"/>
      <c r="L102" s="771"/>
      <c r="M102" s="10"/>
    </row>
    <row r="103" spans="2:13" x14ac:dyDescent="0.25">
      <c r="B103" s="747" t="str">
        <f>D$26</f>
        <v>tonnes</v>
      </c>
      <c r="C103" s="748"/>
      <c r="D103" s="748"/>
      <c r="E103" s="137"/>
      <c r="F103" s="137"/>
      <c r="G103" s="137"/>
      <c r="H103" s="137"/>
      <c r="I103" s="137"/>
      <c r="J103" s="137"/>
      <c r="K103" s="137"/>
      <c r="L103" s="138"/>
      <c r="M103" s="10"/>
    </row>
    <row r="104" spans="2:13" x14ac:dyDescent="0.25">
      <c r="B104" s="747" t="str">
        <f>D$27</f>
        <v>valeur d'achat nette rendue (CAD)</v>
      </c>
      <c r="C104" s="748"/>
      <c r="D104" s="748"/>
      <c r="E104" s="137"/>
      <c r="F104" s="137"/>
      <c r="G104" s="137"/>
      <c r="H104" s="137"/>
      <c r="I104" s="137"/>
      <c r="J104" s="137"/>
      <c r="K104" s="137"/>
      <c r="L104" s="138"/>
      <c r="M104" s="10"/>
    </row>
    <row r="105" spans="2:13" x14ac:dyDescent="0.25">
      <c r="B105" s="747" t="str">
        <f>D$28</f>
        <v>$ / tonne</v>
      </c>
      <c r="C105" s="748"/>
      <c r="D105" s="748"/>
      <c r="E105" s="151" t="str">
        <f t="shared" ref="E105:L105" si="14">IF(E103=0,"-",E104/E103)</f>
        <v>-</v>
      </c>
      <c r="F105" s="151" t="str">
        <f t="shared" si="14"/>
        <v>-</v>
      </c>
      <c r="G105" s="151" t="str">
        <f t="shared" si="14"/>
        <v>-</v>
      </c>
      <c r="H105" s="151" t="str">
        <f t="shared" si="14"/>
        <v>-</v>
      </c>
      <c r="I105" s="151" t="str">
        <f t="shared" si="14"/>
        <v>-</v>
      </c>
      <c r="J105" s="151" t="str">
        <f t="shared" si="14"/>
        <v>-</v>
      </c>
      <c r="K105" s="151" t="str">
        <f t="shared" si="14"/>
        <v>-</v>
      </c>
      <c r="L105" s="152" t="str">
        <f t="shared" si="14"/>
        <v>-</v>
      </c>
      <c r="M105" s="10"/>
    </row>
    <row r="106" spans="2:13" x14ac:dyDescent="0.25">
      <c r="B106" s="768" t="str">
        <f>IF(Intro!$G$20="English",Variables!B32,Variables!C32)</f>
        <v xml:space="preserve">Tubage sans soudure L80 (y compris les améliorations) avec raccord de qualité semi-supérieure </v>
      </c>
      <c r="C106" s="641"/>
      <c r="D106" s="641"/>
      <c r="E106" s="641"/>
      <c r="F106" s="641"/>
      <c r="G106" s="641"/>
      <c r="H106" s="641"/>
      <c r="I106" s="641"/>
      <c r="J106" s="641"/>
      <c r="K106" s="641"/>
      <c r="L106" s="769"/>
      <c r="M106" s="10"/>
    </row>
    <row r="107" spans="2:13" x14ac:dyDescent="0.25">
      <c r="B107" s="770"/>
      <c r="C107" s="647"/>
      <c r="D107" s="647"/>
      <c r="E107" s="647"/>
      <c r="F107" s="647"/>
      <c r="G107" s="647"/>
      <c r="H107" s="647"/>
      <c r="I107" s="647"/>
      <c r="J107" s="647"/>
      <c r="K107" s="647"/>
      <c r="L107" s="771"/>
      <c r="M107" s="10"/>
    </row>
    <row r="108" spans="2:13" x14ac:dyDescent="0.25">
      <c r="B108" s="747" t="str">
        <f>D$26</f>
        <v>tonnes</v>
      </c>
      <c r="C108" s="748"/>
      <c r="D108" s="748"/>
      <c r="E108" s="137"/>
      <c r="F108" s="137"/>
      <c r="G108" s="137"/>
      <c r="H108" s="137"/>
      <c r="I108" s="137"/>
      <c r="J108" s="137"/>
      <c r="K108" s="137"/>
      <c r="L108" s="138"/>
      <c r="M108" s="10"/>
    </row>
    <row r="109" spans="2:13" x14ac:dyDescent="0.25">
      <c r="B109" s="747" t="str">
        <f>D$27</f>
        <v>valeur d'achat nette rendue (CAD)</v>
      </c>
      <c r="C109" s="748"/>
      <c r="D109" s="748"/>
      <c r="E109" s="137"/>
      <c r="F109" s="137"/>
      <c r="G109" s="137"/>
      <c r="H109" s="137"/>
      <c r="I109" s="137"/>
      <c r="J109" s="137"/>
      <c r="K109" s="137"/>
      <c r="L109" s="138"/>
      <c r="M109" s="10"/>
    </row>
    <row r="110" spans="2:13" x14ac:dyDescent="0.25">
      <c r="B110" s="747" t="str">
        <f>D$28</f>
        <v>$ / tonne</v>
      </c>
      <c r="C110" s="748"/>
      <c r="D110" s="748"/>
      <c r="E110" s="151" t="str">
        <f t="shared" ref="E110:L110" si="15">IF(E108=0,"-",E109/E108)</f>
        <v>-</v>
      </c>
      <c r="F110" s="151" t="str">
        <f t="shared" si="15"/>
        <v>-</v>
      </c>
      <c r="G110" s="151" t="str">
        <f t="shared" si="15"/>
        <v>-</v>
      </c>
      <c r="H110" s="151" t="str">
        <f t="shared" si="15"/>
        <v>-</v>
      </c>
      <c r="I110" s="151" t="str">
        <f t="shared" si="15"/>
        <v>-</v>
      </c>
      <c r="J110" s="151" t="str">
        <f t="shared" si="15"/>
        <v>-</v>
      </c>
      <c r="K110" s="151" t="str">
        <f t="shared" si="15"/>
        <v>-</v>
      </c>
      <c r="L110" s="152" t="str">
        <f t="shared" si="15"/>
        <v>-</v>
      </c>
      <c r="M110" s="10"/>
    </row>
    <row r="111" spans="2:13" x14ac:dyDescent="0.25">
      <c r="B111" s="768" t="str">
        <f>IF(Intro!$G$20="English",Variables!B33,Variables!C33)</f>
        <v xml:space="preserve">Tubage soudé L80 (y compris les améliorations) avec raccord de qualité semi-supérieure </v>
      </c>
      <c r="C111" s="641"/>
      <c r="D111" s="641"/>
      <c r="E111" s="641"/>
      <c r="F111" s="641"/>
      <c r="G111" s="641"/>
      <c r="H111" s="641"/>
      <c r="I111" s="641"/>
      <c r="J111" s="641"/>
      <c r="K111" s="641"/>
      <c r="L111" s="769"/>
      <c r="M111" s="10"/>
    </row>
    <row r="112" spans="2:13" x14ac:dyDescent="0.25">
      <c r="B112" s="770"/>
      <c r="C112" s="647"/>
      <c r="D112" s="647"/>
      <c r="E112" s="647"/>
      <c r="F112" s="647"/>
      <c r="G112" s="647"/>
      <c r="H112" s="647"/>
      <c r="I112" s="647"/>
      <c r="J112" s="647"/>
      <c r="K112" s="647"/>
      <c r="L112" s="771"/>
      <c r="M112" s="10"/>
    </row>
    <row r="113" spans="2:13" x14ac:dyDescent="0.25">
      <c r="B113" s="747" t="str">
        <f>D$26</f>
        <v>tonnes</v>
      </c>
      <c r="C113" s="748"/>
      <c r="D113" s="748"/>
      <c r="E113" s="137"/>
      <c r="F113" s="137"/>
      <c r="G113" s="137"/>
      <c r="H113" s="137"/>
      <c r="I113" s="137"/>
      <c r="J113" s="137"/>
      <c r="K113" s="137"/>
      <c r="L113" s="138"/>
      <c r="M113" s="10"/>
    </row>
    <row r="114" spans="2:13" x14ac:dyDescent="0.25">
      <c r="B114" s="747" t="str">
        <f>D$27</f>
        <v>valeur d'achat nette rendue (CAD)</v>
      </c>
      <c r="C114" s="748"/>
      <c r="D114" s="748"/>
      <c r="E114" s="137"/>
      <c r="F114" s="137"/>
      <c r="G114" s="137"/>
      <c r="H114" s="137"/>
      <c r="I114" s="137"/>
      <c r="J114" s="137"/>
      <c r="K114" s="137"/>
      <c r="L114" s="138"/>
      <c r="M114" s="10"/>
    </row>
    <row r="115" spans="2:13" x14ac:dyDescent="0.25">
      <c r="B115" s="747" t="str">
        <f>D$28</f>
        <v>$ / tonne</v>
      </c>
      <c r="C115" s="748"/>
      <c r="D115" s="748"/>
      <c r="E115" s="151" t="str">
        <f t="shared" ref="E115:L115" si="16">IF(E113=0,"-",E114/E113)</f>
        <v>-</v>
      </c>
      <c r="F115" s="151" t="str">
        <f t="shared" si="16"/>
        <v>-</v>
      </c>
      <c r="G115" s="151" t="str">
        <f t="shared" si="16"/>
        <v>-</v>
      </c>
      <c r="H115" s="151" t="str">
        <f t="shared" si="16"/>
        <v>-</v>
      </c>
      <c r="I115" s="151" t="str">
        <f t="shared" si="16"/>
        <v>-</v>
      </c>
      <c r="J115" s="151" t="str">
        <f t="shared" si="16"/>
        <v>-</v>
      </c>
      <c r="K115" s="151" t="str">
        <f t="shared" si="16"/>
        <v>-</v>
      </c>
      <c r="L115" s="152" t="str">
        <f t="shared" si="16"/>
        <v>-</v>
      </c>
      <c r="M115" s="10"/>
    </row>
    <row r="116" spans="2:13" x14ac:dyDescent="0.25">
      <c r="B116" s="768" t="str">
        <f>IF(Intro!$G$20="English",Variables!B34,Variables!C34)</f>
        <v xml:space="preserve">Tubage sans soudure P110 (y compris les améliorations) avec raccord API </v>
      </c>
      <c r="C116" s="641"/>
      <c r="D116" s="641"/>
      <c r="E116" s="641"/>
      <c r="F116" s="641"/>
      <c r="G116" s="641"/>
      <c r="H116" s="641"/>
      <c r="I116" s="641"/>
      <c r="J116" s="641"/>
      <c r="K116" s="641"/>
      <c r="L116" s="769"/>
      <c r="M116" s="10"/>
    </row>
    <row r="117" spans="2:13" x14ac:dyDescent="0.25">
      <c r="B117" s="770"/>
      <c r="C117" s="647"/>
      <c r="D117" s="647"/>
      <c r="E117" s="647"/>
      <c r="F117" s="647"/>
      <c r="G117" s="647"/>
      <c r="H117" s="647"/>
      <c r="I117" s="647"/>
      <c r="J117" s="647"/>
      <c r="K117" s="647"/>
      <c r="L117" s="771"/>
      <c r="M117" s="10"/>
    </row>
    <row r="118" spans="2:13" x14ac:dyDescent="0.25">
      <c r="B118" s="747" t="str">
        <f>D$26</f>
        <v>tonnes</v>
      </c>
      <c r="C118" s="748"/>
      <c r="D118" s="748"/>
      <c r="E118" s="137"/>
      <c r="F118" s="137"/>
      <c r="G118" s="137"/>
      <c r="H118" s="137"/>
      <c r="I118" s="137"/>
      <c r="J118" s="137"/>
      <c r="K118" s="137"/>
      <c r="L118" s="138"/>
      <c r="M118" s="10"/>
    </row>
    <row r="119" spans="2:13" x14ac:dyDescent="0.25">
      <c r="B119" s="747" t="str">
        <f>D$27</f>
        <v>valeur d'achat nette rendue (CAD)</v>
      </c>
      <c r="C119" s="748"/>
      <c r="D119" s="748"/>
      <c r="E119" s="137"/>
      <c r="F119" s="137"/>
      <c r="G119" s="137"/>
      <c r="H119" s="137"/>
      <c r="I119" s="137"/>
      <c r="J119" s="137"/>
      <c r="K119" s="137"/>
      <c r="L119" s="138"/>
      <c r="M119" s="10"/>
    </row>
    <row r="120" spans="2:13" x14ac:dyDescent="0.25">
      <c r="B120" s="747" t="str">
        <f>D$28</f>
        <v>$ / tonne</v>
      </c>
      <c r="C120" s="748"/>
      <c r="D120" s="748"/>
      <c r="E120" s="151" t="str">
        <f t="shared" ref="E120:L120" si="17">IF(E118=0,"-",E119/E118)</f>
        <v>-</v>
      </c>
      <c r="F120" s="151" t="str">
        <f t="shared" si="17"/>
        <v>-</v>
      </c>
      <c r="G120" s="151" t="str">
        <f t="shared" si="17"/>
        <v>-</v>
      </c>
      <c r="H120" s="151" t="str">
        <f t="shared" si="17"/>
        <v>-</v>
      </c>
      <c r="I120" s="151" t="str">
        <f t="shared" si="17"/>
        <v>-</v>
      </c>
      <c r="J120" s="151" t="str">
        <f t="shared" si="17"/>
        <v>-</v>
      </c>
      <c r="K120" s="151" t="str">
        <f t="shared" si="17"/>
        <v>-</v>
      </c>
      <c r="L120" s="152" t="str">
        <f t="shared" si="17"/>
        <v>-</v>
      </c>
      <c r="M120" s="10"/>
    </row>
    <row r="121" spans="2:13" x14ac:dyDescent="0.25">
      <c r="B121" s="768" t="str">
        <f>IF(Intro!$G$20="English",Variables!B35,Variables!C35)</f>
        <v xml:space="preserve">Tubage soudé P110 (y compris les améliorations) avec raccord API </v>
      </c>
      <c r="C121" s="641"/>
      <c r="D121" s="641"/>
      <c r="E121" s="641"/>
      <c r="F121" s="641"/>
      <c r="G121" s="641"/>
      <c r="H121" s="641"/>
      <c r="I121" s="641"/>
      <c r="J121" s="641"/>
      <c r="K121" s="641"/>
      <c r="L121" s="769"/>
      <c r="M121" s="10"/>
    </row>
    <row r="122" spans="2:13" x14ac:dyDescent="0.25">
      <c r="B122" s="770"/>
      <c r="C122" s="647"/>
      <c r="D122" s="647"/>
      <c r="E122" s="647"/>
      <c r="F122" s="647"/>
      <c r="G122" s="647"/>
      <c r="H122" s="647"/>
      <c r="I122" s="647"/>
      <c r="J122" s="647"/>
      <c r="K122" s="647"/>
      <c r="L122" s="771"/>
      <c r="M122" s="10"/>
    </row>
    <row r="123" spans="2:13" x14ac:dyDescent="0.25">
      <c r="B123" s="747" t="str">
        <f>D$26</f>
        <v>tonnes</v>
      </c>
      <c r="C123" s="748"/>
      <c r="D123" s="748"/>
      <c r="E123" s="137"/>
      <c r="F123" s="137"/>
      <c r="G123" s="137"/>
      <c r="H123" s="137"/>
      <c r="I123" s="137"/>
      <c r="J123" s="137"/>
      <c r="K123" s="137"/>
      <c r="L123" s="138"/>
      <c r="M123" s="10"/>
    </row>
    <row r="124" spans="2:13" x14ac:dyDescent="0.25">
      <c r="B124" s="747" t="str">
        <f>D$27</f>
        <v>valeur d'achat nette rendue (CAD)</v>
      </c>
      <c r="C124" s="748"/>
      <c r="D124" s="748"/>
      <c r="E124" s="137"/>
      <c r="F124" s="137"/>
      <c r="G124" s="137"/>
      <c r="H124" s="137"/>
      <c r="I124" s="137"/>
      <c r="J124" s="137"/>
      <c r="K124" s="137"/>
      <c r="L124" s="138"/>
      <c r="M124" s="10"/>
    </row>
    <row r="125" spans="2:13" x14ac:dyDescent="0.25">
      <c r="B125" s="747" t="str">
        <f>D$28</f>
        <v>$ / tonne</v>
      </c>
      <c r="C125" s="748"/>
      <c r="D125" s="748"/>
      <c r="E125" s="151" t="str">
        <f t="shared" ref="E125:L125" si="18">IF(E123=0,"-",E124/E123)</f>
        <v>-</v>
      </c>
      <c r="F125" s="151" t="str">
        <f t="shared" si="18"/>
        <v>-</v>
      </c>
      <c r="G125" s="151" t="str">
        <f t="shared" si="18"/>
        <v>-</v>
      </c>
      <c r="H125" s="151" t="str">
        <f t="shared" si="18"/>
        <v>-</v>
      </c>
      <c r="I125" s="151" t="str">
        <f t="shared" si="18"/>
        <v>-</v>
      </c>
      <c r="J125" s="151" t="str">
        <f t="shared" si="18"/>
        <v>-</v>
      </c>
      <c r="K125" s="151" t="str">
        <f t="shared" si="18"/>
        <v>-</v>
      </c>
      <c r="L125" s="152" t="str">
        <f t="shared" si="18"/>
        <v>-</v>
      </c>
      <c r="M125" s="10"/>
    </row>
    <row r="126" spans="2:13" x14ac:dyDescent="0.25">
      <c r="B126" s="768" t="str">
        <f>IF(Intro!$G$20="English",Variables!B36,Variables!C36)</f>
        <v>Tubage sans soudure P110 (y compris les améliorations) avec raccord de qualité semi-supérieure</v>
      </c>
      <c r="C126" s="641"/>
      <c r="D126" s="641"/>
      <c r="E126" s="641"/>
      <c r="F126" s="641"/>
      <c r="G126" s="641"/>
      <c r="H126" s="641"/>
      <c r="I126" s="641"/>
      <c r="J126" s="641"/>
      <c r="K126" s="641"/>
      <c r="L126" s="769"/>
      <c r="M126" s="10"/>
    </row>
    <row r="127" spans="2:13" x14ac:dyDescent="0.25">
      <c r="B127" s="770"/>
      <c r="C127" s="647"/>
      <c r="D127" s="647"/>
      <c r="E127" s="647"/>
      <c r="F127" s="647"/>
      <c r="G127" s="647"/>
      <c r="H127" s="647"/>
      <c r="I127" s="647"/>
      <c r="J127" s="647"/>
      <c r="K127" s="647"/>
      <c r="L127" s="771"/>
      <c r="M127" s="10"/>
    </row>
    <row r="128" spans="2:13" x14ac:dyDescent="0.25">
      <c r="B128" s="747" t="str">
        <f>D$26</f>
        <v>tonnes</v>
      </c>
      <c r="C128" s="748"/>
      <c r="D128" s="748"/>
      <c r="E128" s="137"/>
      <c r="F128" s="137"/>
      <c r="G128" s="137"/>
      <c r="H128" s="137"/>
      <c r="I128" s="137"/>
      <c r="J128" s="137"/>
      <c r="K128" s="137"/>
      <c r="L128" s="138"/>
      <c r="M128" s="10"/>
    </row>
    <row r="129" spans="2:13" x14ac:dyDescent="0.25">
      <c r="B129" s="747" t="str">
        <f>D$27</f>
        <v>valeur d'achat nette rendue (CAD)</v>
      </c>
      <c r="C129" s="748"/>
      <c r="D129" s="748"/>
      <c r="E129" s="137"/>
      <c r="F129" s="137"/>
      <c r="G129" s="137"/>
      <c r="H129" s="137"/>
      <c r="I129" s="137"/>
      <c r="J129" s="137"/>
      <c r="K129" s="137"/>
      <c r="L129" s="138"/>
      <c r="M129" s="10"/>
    </row>
    <row r="130" spans="2:13" x14ac:dyDescent="0.25">
      <c r="B130" s="747" t="str">
        <f>D$28</f>
        <v>$ / tonne</v>
      </c>
      <c r="C130" s="748"/>
      <c r="D130" s="748"/>
      <c r="E130" s="151" t="str">
        <f t="shared" ref="E130:L130" si="19">IF(E128=0,"-",E129/E128)</f>
        <v>-</v>
      </c>
      <c r="F130" s="151" t="str">
        <f t="shared" si="19"/>
        <v>-</v>
      </c>
      <c r="G130" s="151" t="str">
        <f t="shared" si="19"/>
        <v>-</v>
      </c>
      <c r="H130" s="151" t="str">
        <f t="shared" si="19"/>
        <v>-</v>
      </c>
      <c r="I130" s="151" t="str">
        <f t="shared" si="19"/>
        <v>-</v>
      </c>
      <c r="J130" s="151" t="str">
        <f t="shared" si="19"/>
        <v>-</v>
      </c>
      <c r="K130" s="151" t="str">
        <f t="shared" si="19"/>
        <v>-</v>
      </c>
      <c r="L130" s="152" t="str">
        <f t="shared" si="19"/>
        <v>-</v>
      </c>
      <c r="M130" s="10"/>
    </row>
    <row r="131" spans="2:13" x14ac:dyDescent="0.25">
      <c r="B131" s="768" t="str">
        <f>IF(Intro!$G$20="English",Variables!B37,Variables!C37)</f>
        <v>Tubage soudé P110 (y compris les améliorations) avec raccord de qualité semi-supérieure</v>
      </c>
      <c r="C131" s="641"/>
      <c r="D131" s="641"/>
      <c r="E131" s="641"/>
      <c r="F131" s="641"/>
      <c r="G131" s="641"/>
      <c r="H131" s="641"/>
      <c r="I131" s="641"/>
      <c r="J131" s="641"/>
      <c r="K131" s="641"/>
      <c r="L131" s="769"/>
      <c r="M131" s="10"/>
    </row>
    <row r="132" spans="2:13" x14ac:dyDescent="0.25">
      <c r="B132" s="770"/>
      <c r="C132" s="647"/>
      <c r="D132" s="647"/>
      <c r="E132" s="647"/>
      <c r="F132" s="647"/>
      <c r="G132" s="647"/>
      <c r="H132" s="647"/>
      <c r="I132" s="647"/>
      <c r="J132" s="647"/>
      <c r="K132" s="647"/>
      <c r="L132" s="771"/>
      <c r="M132" s="10"/>
    </row>
    <row r="133" spans="2:13" x14ac:dyDescent="0.25">
      <c r="B133" s="747" t="str">
        <f>D$26</f>
        <v>tonnes</v>
      </c>
      <c r="C133" s="748"/>
      <c r="D133" s="748"/>
      <c r="E133" s="137"/>
      <c r="F133" s="137"/>
      <c r="G133" s="137"/>
      <c r="H133" s="137"/>
      <c r="I133" s="137"/>
      <c r="J133" s="137"/>
      <c r="K133" s="137"/>
      <c r="L133" s="138"/>
      <c r="M133" s="10"/>
    </row>
    <row r="134" spans="2:13" x14ac:dyDescent="0.25">
      <c r="B134" s="747" t="str">
        <f>D$27</f>
        <v>valeur d'achat nette rendue (CAD)</v>
      </c>
      <c r="C134" s="748"/>
      <c r="D134" s="748"/>
      <c r="E134" s="137"/>
      <c r="F134" s="137"/>
      <c r="G134" s="137"/>
      <c r="H134" s="137"/>
      <c r="I134" s="137"/>
      <c r="J134" s="137"/>
      <c r="K134" s="137"/>
      <c r="L134" s="138"/>
      <c r="M134" s="10"/>
    </row>
    <row r="135" spans="2:13" x14ac:dyDescent="0.25">
      <c r="B135" s="747" t="str">
        <f>D$28</f>
        <v>$ / tonne</v>
      </c>
      <c r="C135" s="748"/>
      <c r="D135" s="748"/>
      <c r="E135" s="151" t="str">
        <f t="shared" ref="E135:L135" si="20">IF(E133=0,"-",E134/E133)</f>
        <v>-</v>
      </c>
      <c r="F135" s="151" t="str">
        <f t="shared" si="20"/>
        <v>-</v>
      </c>
      <c r="G135" s="151" t="str">
        <f t="shared" si="20"/>
        <v>-</v>
      </c>
      <c r="H135" s="151" t="str">
        <f t="shared" si="20"/>
        <v>-</v>
      </c>
      <c r="I135" s="151" t="str">
        <f t="shared" si="20"/>
        <v>-</v>
      </c>
      <c r="J135" s="151" t="str">
        <f t="shared" si="20"/>
        <v>-</v>
      </c>
      <c r="K135" s="151" t="str">
        <f t="shared" si="20"/>
        <v>-</v>
      </c>
      <c r="L135" s="152" t="str">
        <f t="shared" si="20"/>
        <v>-</v>
      </c>
      <c r="M135" s="10"/>
    </row>
    <row r="136" spans="2:13" x14ac:dyDescent="0.25">
      <c r="B136" s="768" t="str">
        <f>IF(Intro!$G$20="English",Variables!B38,Variables!C38)</f>
        <v>Tubage sans soudure T95 (y compris les améliorations) avec raccord semi-supérieure</v>
      </c>
      <c r="C136" s="641"/>
      <c r="D136" s="641"/>
      <c r="E136" s="641"/>
      <c r="F136" s="641"/>
      <c r="G136" s="641"/>
      <c r="H136" s="641"/>
      <c r="I136" s="641"/>
      <c r="J136" s="641"/>
      <c r="K136" s="641"/>
      <c r="L136" s="769"/>
      <c r="M136" s="10"/>
    </row>
    <row r="137" spans="2:13" x14ac:dyDescent="0.25">
      <c r="B137" s="770"/>
      <c r="C137" s="647"/>
      <c r="D137" s="647"/>
      <c r="E137" s="647"/>
      <c r="F137" s="647"/>
      <c r="G137" s="647"/>
      <c r="H137" s="647"/>
      <c r="I137" s="647"/>
      <c r="J137" s="647"/>
      <c r="K137" s="647"/>
      <c r="L137" s="771"/>
      <c r="M137" s="10"/>
    </row>
    <row r="138" spans="2:13" x14ac:dyDescent="0.25">
      <c r="B138" s="747" t="str">
        <f>D$26</f>
        <v>tonnes</v>
      </c>
      <c r="C138" s="748"/>
      <c r="D138" s="748"/>
      <c r="E138" s="137"/>
      <c r="F138" s="137"/>
      <c r="G138" s="137"/>
      <c r="H138" s="137"/>
      <c r="I138" s="137"/>
      <c r="J138" s="137"/>
      <c r="K138" s="137"/>
      <c r="L138" s="138"/>
      <c r="M138" s="10"/>
    </row>
    <row r="139" spans="2:13" x14ac:dyDescent="0.25">
      <c r="B139" s="747" t="str">
        <f>D$27</f>
        <v>valeur d'achat nette rendue (CAD)</v>
      </c>
      <c r="C139" s="748"/>
      <c r="D139" s="748"/>
      <c r="E139" s="137"/>
      <c r="F139" s="137"/>
      <c r="G139" s="137"/>
      <c r="H139" s="137"/>
      <c r="I139" s="137"/>
      <c r="J139" s="137"/>
      <c r="K139" s="137"/>
      <c r="L139" s="138"/>
      <c r="M139" s="10"/>
    </row>
    <row r="140" spans="2:13" x14ac:dyDescent="0.25">
      <c r="B140" s="747" t="str">
        <f>D$28</f>
        <v>$ / tonne</v>
      </c>
      <c r="C140" s="748"/>
      <c r="D140" s="748"/>
      <c r="E140" s="151" t="str">
        <f t="shared" ref="E140:L140" si="21">IF(E138=0,"-",E139/E138)</f>
        <v>-</v>
      </c>
      <c r="F140" s="151" t="str">
        <f t="shared" si="21"/>
        <v>-</v>
      </c>
      <c r="G140" s="151" t="str">
        <f t="shared" si="21"/>
        <v>-</v>
      </c>
      <c r="H140" s="151" t="str">
        <f t="shared" si="21"/>
        <v>-</v>
      </c>
      <c r="I140" s="151" t="str">
        <f t="shared" si="21"/>
        <v>-</v>
      </c>
      <c r="J140" s="151" t="str">
        <f t="shared" si="21"/>
        <v>-</v>
      </c>
      <c r="K140" s="151" t="str">
        <f t="shared" si="21"/>
        <v>-</v>
      </c>
      <c r="L140" s="152" t="str">
        <f t="shared" si="21"/>
        <v>-</v>
      </c>
      <c r="M140" s="10"/>
    </row>
    <row r="141" spans="2:13" x14ac:dyDescent="0.25">
      <c r="B141" s="768" t="str">
        <f>IF(Intro!$G$20="English",Variables!B39,Variables!C39)</f>
        <v>Tubage sans soudure P110S (y compris les améliorations) ou nuance similaire pour milieux modérément acides avec raccord de qualité semi-supérieure</v>
      </c>
      <c r="C141" s="641"/>
      <c r="D141" s="641"/>
      <c r="E141" s="641"/>
      <c r="F141" s="641"/>
      <c r="G141" s="641"/>
      <c r="H141" s="641"/>
      <c r="I141" s="641"/>
      <c r="J141" s="641"/>
      <c r="K141" s="641"/>
      <c r="L141" s="769"/>
      <c r="M141" s="10"/>
    </row>
    <row r="142" spans="2:13" x14ac:dyDescent="0.25">
      <c r="B142" s="770"/>
      <c r="C142" s="647"/>
      <c r="D142" s="647"/>
      <c r="E142" s="647"/>
      <c r="F142" s="647"/>
      <c r="G142" s="647"/>
      <c r="H142" s="647"/>
      <c r="I142" s="647"/>
      <c r="J142" s="647"/>
      <c r="K142" s="647"/>
      <c r="L142" s="771"/>
      <c r="M142" s="10"/>
    </row>
    <row r="143" spans="2:13" x14ac:dyDescent="0.25">
      <c r="B143" s="747" t="str">
        <f>D$26</f>
        <v>tonnes</v>
      </c>
      <c r="C143" s="748"/>
      <c r="D143" s="748"/>
      <c r="E143" s="137"/>
      <c r="F143" s="137"/>
      <c r="G143" s="137"/>
      <c r="H143" s="137"/>
      <c r="I143" s="137"/>
      <c r="J143" s="137"/>
      <c r="K143" s="137"/>
      <c r="L143" s="138"/>
      <c r="M143" s="10"/>
    </row>
    <row r="144" spans="2:13" x14ac:dyDescent="0.25">
      <c r="B144" s="747" t="str">
        <f>D$27</f>
        <v>valeur d'achat nette rendue (CAD)</v>
      </c>
      <c r="C144" s="748"/>
      <c r="D144" s="748"/>
      <c r="E144" s="137"/>
      <c r="F144" s="137"/>
      <c r="G144" s="137"/>
      <c r="H144" s="137"/>
      <c r="I144" s="137"/>
      <c r="J144" s="137"/>
      <c r="K144" s="137"/>
      <c r="L144" s="138"/>
      <c r="M144" s="10"/>
    </row>
    <row r="145" spans="1:19" x14ac:dyDescent="0.25">
      <c r="B145" s="747" t="str">
        <f>D$28</f>
        <v>$ / tonne</v>
      </c>
      <c r="C145" s="748"/>
      <c r="D145" s="748"/>
      <c r="E145" s="151" t="str">
        <f t="shared" ref="E145:L145" si="22">IF(E143=0,"-",E144/E143)</f>
        <v>-</v>
      </c>
      <c r="F145" s="151" t="str">
        <f t="shared" si="22"/>
        <v>-</v>
      </c>
      <c r="G145" s="151" t="str">
        <f t="shared" si="22"/>
        <v>-</v>
      </c>
      <c r="H145" s="151" t="str">
        <f t="shared" si="22"/>
        <v>-</v>
      </c>
      <c r="I145" s="151" t="str">
        <f t="shared" si="22"/>
        <v>-</v>
      </c>
      <c r="J145" s="151" t="str">
        <f t="shared" si="22"/>
        <v>-</v>
      </c>
      <c r="K145" s="151" t="str">
        <f t="shared" si="22"/>
        <v>-</v>
      </c>
      <c r="L145" s="152" t="str">
        <f t="shared" si="22"/>
        <v>-</v>
      </c>
      <c r="M145" s="10"/>
    </row>
    <row r="146" spans="1:19" x14ac:dyDescent="0.25">
      <c r="B146" s="260"/>
      <c r="C146" s="261"/>
      <c r="D146" s="261"/>
      <c r="E146" s="29"/>
      <c r="F146" s="29"/>
      <c r="G146" s="29"/>
      <c r="H146" s="29"/>
      <c r="I146" s="29"/>
      <c r="J146" s="29"/>
      <c r="K146" s="29"/>
      <c r="L146" s="30"/>
      <c r="M146" s="10"/>
    </row>
    <row r="147" spans="1:19" x14ac:dyDescent="0.25">
      <c r="B147" s="530" t="str">
        <f>IF(Intro!$G$20="English",O147,P147)</f>
        <v>Dans le tableau ci-dessous, « Erreur » signifie que les importations totales des produits de référence de votre entreprise dépassent les importations totales de votre entreprise pour cette période. Par conséquent, veuillez modifier les données ci-dessus si nécessaire.</v>
      </c>
      <c r="C147" s="531"/>
      <c r="D147" s="531"/>
      <c r="E147" s="531"/>
      <c r="F147" s="531"/>
      <c r="G147" s="531"/>
      <c r="H147" s="531"/>
      <c r="I147" s="531"/>
      <c r="J147" s="531"/>
      <c r="K147" s="531"/>
      <c r="L147" s="532"/>
      <c r="M147" s="10"/>
      <c r="O147" s="10" t="s">
        <v>361</v>
      </c>
      <c r="P147" s="10" t="s">
        <v>362</v>
      </c>
      <c r="S147" s="38"/>
    </row>
    <row r="148" spans="1:19" x14ac:dyDescent="0.25">
      <c r="B148" s="530"/>
      <c r="C148" s="531"/>
      <c r="D148" s="531"/>
      <c r="E148" s="531"/>
      <c r="F148" s="531"/>
      <c r="G148" s="531"/>
      <c r="H148" s="531"/>
      <c r="I148" s="531"/>
      <c r="J148" s="531"/>
      <c r="K148" s="531"/>
      <c r="L148" s="532"/>
      <c r="M148" s="10"/>
      <c r="S148" s="38"/>
    </row>
    <row r="149" spans="1:19" x14ac:dyDescent="0.25">
      <c r="B149" s="214"/>
      <c r="C149" s="215"/>
      <c r="D149" s="215"/>
      <c r="E149" s="29"/>
      <c r="F149" s="29"/>
      <c r="G149" s="29"/>
      <c r="H149" s="29"/>
      <c r="I149" s="29"/>
      <c r="J149" s="29"/>
      <c r="K149" s="29"/>
      <c r="L149" s="30"/>
      <c r="M149" s="10"/>
      <c r="S149" s="38"/>
    </row>
    <row r="150" spans="1:19" ht="14.1" customHeight="1" x14ac:dyDescent="0.25">
      <c r="B150" s="760" t="str">
        <f>Variables!D66</f>
        <v>Vérification - volume</v>
      </c>
      <c r="C150" s="761"/>
      <c r="D150" s="761"/>
      <c r="E150" s="761"/>
      <c r="F150" s="762"/>
      <c r="G150" s="218">
        <f>G80</f>
        <v>2024</v>
      </c>
      <c r="H150" s="218">
        <f>H80</f>
        <v>2025</v>
      </c>
      <c r="I150" s="218" t="str">
        <f>I80</f>
        <v>janv.-mars 2025</v>
      </c>
      <c r="J150" s="218" t="str">
        <f>J80</f>
        <v>janv.-mars 2026</v>
      </c>
      <c r="K150" s="225"/>
      <c r="L150" s="226"/>
      <c r="M150" s="10"/>
    </row>
    <row r="151" spans="1:19" ht="14.1" customHeight="1" x14ac:dyDescent="0.25">
      <c r="B151" s="789" t="str">
        <f>B98</f>
        <v>tonnes</v>
      </c>
      <c r="C151" s="790"/>
      <c r="D151" s="790"/>
      <c r="E151" s="790"/>
      <c r="F151" s="791"/>
      <c r="G151" s="187" t="str">
        <f>IF(SUM(E98:G98,E103:G103,E108:G108,E113:G113,E118:G118,E123:G123,E128:G128,E133:G133,E138:G138,E143:G143)&gt;H26,Variables!$D$67,Variables!$D$68)</f>
        <v>Correct</v>
      </c>
      <c r="H151" s="187" t="str">
        <f>IF(SUM(H98:K98,H103:K103,H108:K108,H113:K113,H118:K118,H123:K123,H128:K128,H133:K133,H138:K138,H143:K143)&gt;I26,Variables!$D$67,Variables!$D$68)</f>
        <v>Correct</v>
      </c>
      <c r="I151" s="187" t="str">
        <f>IF(SUM(H98,H103,H108,H113,H118,H123,H128,H133,H138,H143)&gt;J26,Variables!$D$67,Variables!$D$68)</f>
        <v>Correct</v>
      </c>
      <c r="J151" s="187" t="str">
        <f>IF(SUM(L98,L103,L108,L113,L118,L123,L128,L133,L138,L143)&gt;K26,Variables!$D$67,Variables!$D$68)</f>
        <v>Correct</v>
      </c>
      <c r="K151" s="225"/>
      <c r="L151" s="226"/>
      <c r="M151" s="10"/>
    </row>
    <row r="152" spans="1:19" ht="14.1" customHeight="1" x14ac:dyDescent="0.25">
      <c r="B152" s="763" t="str">
        <f>IF(Intro!$G$20="English",O152,P152)</f>
        <v>volume - total des importations des produits de référence (Question 3)</v>
      </c>
      <c r="C152" s="764"/>
      <c r="D152" s="764"/>
      <c r="E152" s="764"/>
      <c r="F152" s="765"/>
      <c r="G152" s="187">
        <f>SUM(E98:G98,E103:G103,E108:G108,E113:G113,E118:G118,E123:G123,E128:G128,E133:G133,E138:G138,E143:G143)</f>
        <v>0</v>
      </c>
      <c r="H152" s="187">
        <f>SUM(H98:K98,H103:K103,H108:K108,H113:K113,H118:K118,H123:K123,H128:K128,H133:K133,H138:K138,H143:K143)</f>
        <v>0</v>
      </c>
      <c r="I152" s="187">
        <f>SUM(H98,H103,H108,H113,H118,H123,H128,H133,H138,H143)</f>
        <v>0</v>
      </c>
      <c r="J152" s="187">
        <f>SUM(L98,L103,L108,L113,L118,L123,L128,L133,L138,L143)</f>
        <v>0</v>
      </c>
      <c r="K152" s="225"/>
      <c r="L152" s="226"/>
      <c r="M152" s="10"/>
      <c r="O152" s="10" t="s">
        <v>431</v>
      </c>
      <c r="P152" s="10" t="s">
        <v>432</v>
      </c>
    </row>
    <row r="153" spans="1:19" ht="14.1" customHeight="1" x14ac:dyDescent="0.25">
      <c r="B153" s="763" t="str">
        <f>IF(Intro!$G$20="English",O153,P153)</f>
        <v>volume - total des importations (Question 1)</v>
      </c>
      <c r="C153" s="764"/>
      <c r="D153" s="764"/>
      <c r="E153" s="764"/>
      <c r="F153" s="765"/>
      <c r="G153" s="187">
        <f>H26</f>
        <v>0</v>
      </c>
      <c r="H153" s="187">
        <f>I26</f>
        <v>0</v>
      </c>
      <c r="I153" s="187">
        <f>J26</f>
        <v>0</v>
      </c>
      <c r="J153" s="187">
        <f>K26</f>
        <v>0</v>
      </c>
      <c r="K153" s="225"/>
      <c r="L153" s="226"/>
      <c r="M153" s="10"/>
      <c r="O153" s="10" t="s">
        <v>433</v>
      </c>
      <c r="P153" s="10" t="s">
        <v>434</v>
      </c>
    </row>
    <row r="154" spans="1:19" x14ac:dyDescent="0.25">
      <c r="B154" s="760" t="str">
        <f>Variables!D70</f>
        <v>Vérification - valeur</v>
      </c>
      <c r="C154" s="761"/>
      <c r="D154" s="761"/>
      <c r="E154" s="761"/>
      <c r="F154" s="762"/>
      <c r="G154" s="218">
        <f>G150</f>
        <v>2024</v>
      </c>
      <c r="H154" s="218">
        <f>H150</f>
        <v>2025</v>
      </c>
      <c r="I154" s="218" t="str">
        <f>I150</f>
        <v>janv.-mars 2025</v>
      </c>
      <c r="J154" s="218" t="str">
        <f>J150</f>
        <v>janv.-mars 2026</v>
      </c>
      <c r="K154" s="225"/>
      <c r="L154" s="226"/>
      <c r="M154" s="10"/>
    </row>
    <row r="155" spans="1:19" ht="14.1" customHeight="1" x14ac:dyDescent="0.25">
      <c r="B155" s="789" t="str">
        <f>B99</f>
        <v>valeur d'achat nette rendue (CAD)</v>
      </c>
      <c r="C155" s="790"/>
      <c r="D155" s="790"/>
      <c r="E155" s="790"/>
      <c r="F155" s="791"/>
      <c r="G155" s="187" t="str">
        <f>IF(SUM(E99:G99,E104:G104,E109:G109,E114:G114,E119:G119,E124:G124,E129:G129,E134:G134,E139:G139,E144:G144)&gt;H27,Variables!$D$67,Variables!$D$68)</f>
        <v>Correct</v>
      </c>
      <c r="H155" s="187" t="str">
        <f>IF(SUM(H99:K99,H104:K104,H109:K109,H114:K114,H119:K119,H124:K124,H129:K129,H134:K134,H139:K139,H144:K144)&gt;I27,Variables!$D$67,Variables!$D$68)</f>
        <v>Correct</v>
      </c>
      <c r="I155" s="187" t="str">
        <f>IF(SUM(H99,H104,H109,H114,H119,H124,H129,H134,H139,H144)&gt;J27,Variables!$D$67,Variables!$D$68)</f>
        <v>Correct</v>
      </c>
      <c r="J155" s="187" t="str">
        <f>IF(SUM(L99,L104,L109,L114,L119,L124,L129,L134,L139,L144)&gt;K27,Variables!$D$67,Variables!$D$68)</f>
        <v>Correct</v>
      </c>
      <c r="K155" s="225"/>
      <c r="L155" s="226"/>
      <c r="M155" s="10"/>
    </row>
    <row r="156" spans="1:19" ht="14.1" customHeight="1" x14ac:dyDescent="0.25">
      <c r="B156" s="763" t="str">
        <f>IF(Intro!$G$20="English",O156,P156)</f>
        <v>valeur - total des importations des produits de référence (Question 3)</v>
      </c>
      <c r="C156" s="764"/>
      <c r="D156" s="764"/>
      <c r="E156" s="764"/>
      <c r="F156" s="765"/>
      <c r="G156" s="187">
        <f>SUM(E99:G99,E104:G104,E109:G109,E114:G114,E119:G119,E124:G124,E129:G129,E134:G134,E139:G139,E144:G144)</f>
        <v>0</v>
      </c>
      <c r="H156" s="187">
        <f>SUM(H99:K99,H104:K104,H109:K109,H114:K114,H119:K119,H124:K124,H129:K129,H134:K134,H139:K139,H144:K144)</f>
        <v>0</v>
      </c>
      <c r="I156" s="187">
        <f>SUM(H99,H104,H109,H114,H119,H124,H129,H134,H139,H144)</f>
        <v>0</v>
      </c>
      <c r="J156" s="187">
        <f>SUM(L99,L104,L109,L114,L119,L124,L129,L134,L139,L144)</f>
        <v>0</v>
      </c>
      <c r="K156" s="225"/>
      <c r="L156" s="226"/>
      <c r="M156" s="10"/>
      <c r="O156" s="10" t="s">
        <v>435</v>
      </c>
      <c r="P156" s="10" t="s">
        <v>436</v>
      </c>
    </row>
    <row r="157" spans="1:19" ht="14.1" customHeight="1" x14ac:dyDescent="0.25">
      <c r="B157" s="763" t="str">
        <f>IF(Intro!$G$20="English",O157,P157)</f>
        <v>valeur - total des importations (Question 1)</v>
      </c>
      <c r="C157" s="764"/>
      <c r="D157" s="764"/>
      <c r="E157" s="764"/>
      <c r="F157" s="765"/>
      <c r="G157" s="187">
        <f>H27</f>
        <v>0</v>
      </c>
      <c r="H157" s="187">
        <f>I27</f>
        <v>0</v>
      </c>
      <c r="I157" s="187">
        <f>J27</f>
        <v>0</v>
      </c>
      <c r="J157" s="187">
        <f>K27</f>
        <v>0</v>
      </c>
      <c r="K157" s="225"/>
      <c r="L157" s="226"/>
      <c r="M157" s="10"/>
      <c r="O157" s="10" t="s">
        <v>437</v>
      </c>
      <c r="P157" s="10" t="s">
        <v>438</v>
      </c>
    </row>
    <row r="158" spans="1:19" x14ac:dyDescent="0.25">
      <c r="B158" s="72"/>
      <c r="C158" s="82"/>
      <c r="D158" s="82"/>
      <c r="E158" s="82"/>
      <c r="F158" s="82"/>
      <c r="G158" s="82"/>
      <c r="H158" s="82"/>
      <c r="I158" s="82"/>
      <c r="J158" s="82"/>
      <c r="K158" s="82"/>
      <c r="L158" s="83"/>
      <c r="M158" s="10"/>
    </row>
    <row r="159" spans="1:19" s="207" customFormat="1" x14ac:dyDescent="0.25">
      <c r="A159" s="7"/>
      <c r="B159" s="91"/>
      <c r="C159" s="91"/>
      <c r="D159" s="89"/>
      <c r="E159" s="217"/>
      <c r="F159" s="217"/>
      <c r="G159" s="217"/>
      <c r="H159" s="217"/>
      <c r="I159" s="217"/>
      <c r="J159" s="217"/>
      <c r="K159" s="217"/>
      <c r="L159" s="217"/>
      <c r="M159" s="73"/>
    </row>
    <row r="160" spans="1:19" x14ac:dyDescent="0.25">
      <c r="B160" s="533" t="str">
        <f>IF(Intro!$G$20="English",O160,P160)</f>
        <v>VENTES AU CANADA D'IMPORTATIONS DE PRODUITS DE RÉFÉRENCE</v>
      </c>
      <c r="C160" s="534"/>
      <c r="D160" s="534"/>
      <c r="E160" s="534"/>
      <c r="F160" s="534"/>
      <c r="G160" s="534"/>
      <c r="H160" s="534"/>
      <c r="I160" s="534"/>
      <c r="J160" s="534"/>
      <c r="K160" s="534"/>
      <c r="L160" s="535"/>
      <c r="M160" s="10"/>
      <c r="O160" s="105" t="s">
        <v>336</v>
      </c>
      <c r="P160" s="105" t="s">
        <v>400</v>
      </c>
    </row>
    <row r="161" spans="2:16" x14ac:dyDescent="0.25">
      <c r="B161" s="671" t="s">
        <v>17</v>
      </c>
      <c r="C161" s="672"/>
      <c r="D161" s="672"/>
      <c r="E161" s="672"/>
      <c r="F161" s="672"/>
      <c r="G161" s="672"/>
      <c r="H161" s="672"/>
      <c r="I161" s="672"/>
      <c r="J161" s="672"/>
      <c r="K161" s="672"/>
      <c r="L161" s="673"/>
      <c r="M161" s="10"/>
    </row>
    <row r="162" spans="2:16" x14ac:dyDescent="0.25">
      <c r="B162" s="16"/>
      <c r="C162" s="35"/>
      <c r="D162" s="35"/>
      <c r="E162" s="36"/>
      <c r="F162" s="36"/>
      <c r="G162" s="36"/>
      <c r="H162" s="36"/>
      <c r="I162" s="36"/>
      <c r="J162" s="36"/>
      <c r="K162" s="36"/>
      <c r="L162" s="17"/>
      <c r="M162" s="10"/>
    </row>
    <row r="163" spans="2:16" x14ac:dyDescent="0.25">
      <c r="B163" s="530" t="str">
        <f>IF(Intro!$G$20="English",O163,P163)</f>
        <v>Indiquez le volume et la valeur des ventes d'importations au Canada pour chaque produit de référence :</v>
      </c>
      <c r="C163" s="531"/>
      <c r="D163" s="531"/>
      <c r="E163" s="531"/>
      <c r="F163" s="531"/>
      <c r="G163" s="531"/>
      <c r="H163" s="531"/>
      <c r="I163" s="531"/>
      <c r="J163" s="531"/>
      <c r="K163" s="531"/>
      <c r="L163" s="532"/>
      <c r="M163" s="10"/>
      <c r="O163" s="18" t="s">
        <v>171</v>
      </c>
      <c r="P163" s="10" t="s">
        <v>399</v>
      </c>
    </row>
    <row r="164" spans="2:16" x14ac:dyDescent="0.25">
      <c r="B164" s="530" t="str">
        <f>Pro!B22</f>
        <v>Note - Ne répondez à cette question que si votre entreprise a vendu les marchandises du 1er janvier 2023 au 31 mars 2026.</v>
      </c>
      <c r="C164" s="531"/>
      <c r="D164" s="531"/>
      <c r="E164" s="531"/>
      <c r="F164" s="531"/>
      <c r="G164" s="531"/>
      <c r="H164" s="531"/>
      <c r="I164" s="531"/>
      <c r="J164" s="531"/>
      <c r="K164" s="531"/>
      <c r="L164" s="532"/>
      <c r="M164" s="10"/>
      <c r="O164" s="18"/>
    </row>
    <row r="165" spans="2:16" x14ac:dyDescent="0.25">
      <c r="B165" s="214"/>
      <c r="C165" s="215"/>
      <c r="D165" s="35"/>
      <c r="E165" s="36"/>
      <c r="F165" s="36"/>
      <c r="G165" s="36"/>
      <c r="H165" s="36"/>
      <c r="I165" s="36"/>
      <c r="J165" s="36"/>
      <c r="K165" s="36"/>
      <c r="L165" s="17"/>
      <c r="M165" s="10"/>
      <c r="O165" s="18"/>
    </row>
    <row r="166" spans="2:16" x14ac:dyDescent="0.25">
      <c r="B166" s="772"/>
      <c r="C166" s="773"/>
      <c r="D166" s="774"/>
      <c r="E166" s="218" t="str">
        <f t="shared" ref="E166:L166" si="23">E95</f>
        <v>T2 - 2024</v>
      </c>
      <c r="F166" s="218" t="str">
        <f t="shared" si="23"/>
        <v>T3 - 2024</v>
      </c>
      <c r="G166" s="218" t="str">
        <f t="shared" si="23"/>
        <v>T4 - 2024</v>
      </c>
      <c r="H166" s="218" t="str">
        <f t="shared" si="23"/>
        <v>T1 - 2025</v>
      </c>
      <c r="I166" s="218" t="str">
        <f t="shared" si="23"/>
        <v>T2 - 2025</v>
      </c>
      <c r="J166" s="218" t="str">
        <f t="shared" si="23"/>
        <v>T3 - 2025</v>
      </c>
      <c r="K166" s="218" t="str">
        <f t="shared" si="23"/>
        <v>T4 - 2025</v>
      </c>
      <c r="L166" s="219" t="str">
        <f t="shared" si="23"/>
        <v>T1 - 2026</v>
      </c>
      <c r="M166" s="10"/>
      <c r="O166" s="18"/>
    </row>
    <row r="167" spans="2:16" x14ac:dyDescent="0.25">
      <c r="B167" s="768" t="str">
        <f>B96</f>
        <v xml:space="preserve">Tubage sans soudure L80 (y compris les améliorations) avec raccord API </v>
      </c>
      <c r="C167" s="641"/>
      <c r="D167" s="641"/>
      <c r="E167" s="641"/>
      <c r="F167" s="641"/>
      <c r="G167" s="641"/>
      <c r="H167" s="641"/>
      <c r="I167" s="641"/>
      <c r="J167" s="641"/>
      <c r="K167" s="641"/>
      <c r="L167" s="769"/>
      <c r="M167" s="10"/>
    </row>
    <row r="168" spans="2:16" x14ac:dyDescent="0.25">
      <c r="B168" s="770"/>
      <c r="C168" s="647"/>
      <c r="D168" s="647"/>
      <c r="E168" s="647"/>
      <c r="F168" s="647"/>
      <c r="G168" s="647"/>
      <c r="H168" s="647"/>
      <c r="I168" s="647"/>
      <c r="J168" s="647"/>
      <c r="K168" s="647"/>
      <c r="L168" s="771"/>
      <c r="M168" s="10"/>
    </row>
    <row r="169" spans="2:16" x14ac:dyDescent="0.25">
      <c r="B169" s="747" t="str">
        <f>D$31</f>
        <v>tonnes</v>
      </c>
      <c r="C169" s="748"/>
      <c r="D169" s="748"/>
      <c r="E169" s="137"/>
      <c r="F169" s="137"/>
      <c r="G169" s="137"/>
      <c r="H169" s="137"/>
      <c r="I169" s="137"/>
      <c r="J169" s="137"/>
      <c r="K169" s="137"/>
      <c r="L169" s="138"/>
      <c r="M169" s="10"/>
    </row>
    <row r="170" spans="2:16" x14ac:dyDescent="0.25">
      <c r="B170" s="747" t="str">
        <f>D$32</f>
        <v>valeur de vente nette rendue (CAD)</v>
      </c>
      <c r="C170" s="748"/>
      <c r="D170" s="748"/>
      <c r="E170" s="137"/>
      <c r="F170" s="137"/>
      <c r="G170" s="137"/>
      <c r="H170" s="137"/>
      <c r="I170" s="137"/>
      <c r="J170" s="137"/>
      <c r="K170" s="137"/>
      <c r="L170" s="138"/>
      <c r="M170" s="10"/>
    </row>
    <row r="171" spans="2:16" x14ac:dyDescent="0.25">
      <c r="B171" s="747" t="str">
        <f>D$33</f>
        <v>$ / tonne</v>
      </c>
      <c r="C171" s="748"/>
      <c r="D171" s="748"/>
      <c r="E171" s="151" t="str">
        <f t="shared" ref="E171:L171" si="24">IF(E169=0,"-",E170/E169)</f>
        <v>-</v>
      </c>
      <c r="F171" s="151" t="str">
        <f t="shared" si="24"/>
        <v>-</v>
      </c>
      <c r="G171" s="151" t="str">
        <f t="shared" si="24"/>
        <v>-</v>
      </c>
      <c r="H171" s="151" t="str">
        <f t="shared" si="24"/>
        <v>-</v>
      </c>
      <c r="I171" s="151" t="str">
        <f t="shared" si="24"/>
        <v>-</v>
      </c>
      <c r="J171" s="151" t="str">
        <f t="shared" si="24"/>
        <v>-</v>
      </c>
      <c r="K171" s="151" t="str">
        <f t="shared" si="24"/>
        <v>-</v>
      </c>
      <c r="L171" s="152" t="str">
        <f t="shared" si="24"/>
        <v>-</v>
      </c>
      <c r="M171" s="10"/>
    </row>
    <row r="172" spans="2:16" x14ac:dyDescent="0.25">
      <c r="B172" s="768" t="str">
        <f>B101</f>
        <v>Tubage soudé L80 (y compris les améliorations) avec raccord API</v>
      </c>
      <c r="C172" s="641"/>
      <c r="D172" s="641"/>
      <c r="E172" s="641"/>
      <c r="F172" s="641"/>
      <c r="G172" s="641"/>
      <c r="H172" s="641"/>
      <c r="I172" s="641"/>
      <c r="J172" s="641"/>
      <c r="K172" s="641"/>
      <c r="L172" s="769"/>
      <c r="M172" s="10"/>
    </row>
    <row r="173" spans="2:16" x14ac:dyDescent="0.25">
      <c r="B173" s="770"/>
      <c r="C173" s="647"/>
      <c r="D173" s="647"/>
      <c r="E173" s="647"/>
      <c r="F173" s="647"/>
      <c r="G173" s="647"/>
      <c r="H173" s="647"/>
      <c r="I173" s="647"/>
      <c r="J173" s="647"/>
      <c r="K173" s="647"/>
      <c r="L173" s="771"/>
      <c r="M173" s="10"/>
    </row>
    <row r="174" spans="2:16" x14ac:dyDescent="0.25">
      <c r="B174" s="747" t="str">
        <f>D$31</f>
        <v>tonnes</v>
      </c>
      <c r="C174" s="748"/>
      <c r="D174" s="748"/>
      <c r="E174" s="137"/>
      <c r="F174" s="137"/>
      <c r="G174" s="137"/>
      <c r="H174" s="137"/>
      <c r="I174" s="137"/>
      <c r="J174" s="137"/>
      <c r="K174" s="137"/>
      <c r="L174" s="138"/>
      <c r="M174" s="10"/>
    </row>
    <row r="175" spans="2:16" x14ac:dyDescent="0.25">
      <c r="B175" s="747" t="str">
        <f>D$32</f>
        <v>valeur de vente nette rendue (CAD)</v>
      </c>
      <c r="C175" s="748"/>
      <c r="D175" s="748"/>
      <c r="E175" s="137"/>
      <c r="F175" s="137"/>
      <c r="G175" s="137"/>
      <c r="H175" s="137"/>
      <c r="I175" s="137"/>
      <c r="J175" s="137"/>
      <c r="K175" s="137"/>
      <c r="L175" s="138"/>
      <c r="M175" s="10"/>
    </row>
    <row r="176" spans="2:16" x14ac:dyDescent="0.25">
      <c r="B176" s="747" t="str">
        <f>D$33</f>
        <v>$ / tonne</v>
      </c>
      <c r="C176" s="748"/>
      <c r="D176" s="748"/>
      <c r="E176" s="151" t="str">
        <f>IF(E174=0,"-",E175/E174)</f>
        <v>-</v>
      </c>
      <c r="F176" s="151" t="str">
        <f t="shared" ref="F176:L176" si="25">IF(F174=0,"-",F175/F174)</f>
        <v>-</v>
      </c>
      <c r="G176" s="151" t="str">
        <f t="shared" si="25"/>
        <v>-</v>
      </c>
      <c r="H176" s="151" t="str">
        <f t="shared" si="25"/>
        <v>-</v>
      </c>
      <c r="I176" s="151" t="str">
        <f t="shared" si="25"/>
        <v>-</v>
      </c>
      <c r="J176" s="151" t="str">
        <f t="shared" si="25"/>
        <v>-</v>
      </c>
      <c r="K176" s="151" t="str">
        <f t="shared" si="25"/>
        <v>-</v>
      </c>
      <c r="L176" s="152" t="str">
        <f t="shared" si="25"/>
        <v>-</v>
      </c>
      <c r="M176" s="10"/>
    </row>
    <row r="177" spans="2:13" x14ac:dyDescent="0.25">
      <c r="B177" s="768" t="str">
        <f>B106</f>
        <v xml:space="preserve">Tubage sans soudure L80 (y compris les améliorations) avec raccord de qualité semi-supérieure </v>
      </c>
      <c r="C177" s="641"/>
      <c r="D177" s="641"/>
      <c r="E177" s="641"/>
      <c r="F177" s="641"/>
      <c r="G177" s="641"/>
      <c r="H177" s="641"/>
      <c r="I177" s="641"/>
      <c r="J177" s="641"/>
      <c r="K177" s="641"/>
      <c r="L177" s="769"/>
      <c r="M177" s="10"/>
    </row>
    <row r="178" spans="2:13" x14ac:dyDescent="0.25">
      <c r="B178" s="770"/>
      <c r="C178" s="647"/>
      <c r="D178" s="647"/>
      <c r="E178" s="647"/>
      <c r="F178" s="647"/>
      <c r="G178" s="647"/>
      <c r="H178" s="647"/>
      <c r="I178" s="647"/>
      <c r="J178" s="647"/>
      <c r="K178" s="647"/>
      <c r="L178" s="771"/>
      <c r="M178" s="10"/>
    </row>
    <row r="179" spans="2:13" x14ac:dyDescent="0.25">
      <c r="B179" s="747" t="str">
        <f>D$31</f>
        <v>tonnes</v>
      </c>
      <c r="C179" s="748"/>
      <c r="D179" s="748"/>
      <c r="E179" s="137"/>
      <c r="F179" s="137"/>
      <c r="G179" s="137"/>
      <c r="H179" s="137"/>
      <c r="I179" s="137"/>
      <c r="J179" s="137"/>
      <c r="K179" s="137"/>
      <c r="L179" s="138"/>
      <c r="M179" s="10"/>
    </row>
    <row r="180" spans="2:13" x14ac:dyDescent="0.25">
      <c r="B180" s="747" t="str">
        <f>D$32</f>
        <v>valeur de vente nette rendue (CAD)</v>
      </c>
      <c r="C180" s="748"/>
      <c r="D180" s="748"/>
      <c r="E180" s="137"/>
      <c r="F180" s="137"/>
      <c r="G180" s="137"/>
      <c r="H180" s="137"/>
      <c r="I180" s="137"/>
      <c r="J180" s="137"/>
      <c r="K180" s="137"/>
      <c r="L180" s="138"/>
      <c r="M180" s="10"/>
    </row>
    <row r="181" spans="2:13" x14ac:dyDescent="0.25">
      <c r="B181" s="747" t="str">
        <f>D$33</f>
        <v>$ / tonne</v>
      </c>
      <c r="C181" s="748"/>
      <c r="D181" s="748"/>
      <c r="E181" s="151" t="str">
        <f>IF(E179=0,"-",E180/E179)</f>
        <v>-</v>
      </c>
      <c r="F181" s="151" t="str">
        <f t="shared" ref="F181:L181" si="26">IF(F179=0,"-",F180/F179)</f>
        <v>-</v>
      </c>
      <c r="G181" s="151" t="str">
        <f t="shared" si="26"/>
        <v>-</v>
      </c>
      <c r="H181" s="151" t="str">
        <f t="shared" si="26"/>
        <v>-</v>
      </c>
      <c r="I181" s="151" t="str">
        <f t="shared" si="26"/>
        <v>-</v>
      </c>
      <c r="J181" s="151" t="str">
        <f t="shared" si="26"/>
        <v>-</v>
      </c>
      <c r="K181" s="151" t="str">
        <f t="shared" si="26"/>
        <v>-</v>
      </c>
      <c r="L181" s="152" t="str">
        <f t="shared" si="26"/>
        <v>-</v>
      </c>
      <c r="M181" s="10"/>
    </row>
    <row r="182" spans="2:13" x14ac:dyDescent="0.25">
      <c r="B182" s="768" t="str">
        <f>B111</f>
        <v xml:space="preserve">Tubage soudé L80 (y compris les améliorations) avec raccord de qualité semi-supérieure </v>
      </c>
      <c r="C182" s="641"/>
      <c r="D182" s="641"/>
      <c r="E182" s="641"/>
      <c r="F182" s="641"/>
      <c r="G182" s="641"/>
      <c r="H182" s="641"/>
      <c r="I182" s="641"/>
      <c r="J182" s="641"/>
      <c r="K182" s="641"/>
      <c r="L182" s="769"/>
      <c r="M182" s="10"/>
    </row>
    <row r="183" spans="2:13" x14ac:dyDescent="0.25">
      <c r="B183" s="770"/>
      <c r="C183" s="647"/>
      <c r="D183" s="647"/>
      <c r="E183" s="647"/>
      <c r="F183" s="647"/>
      <c r="G183" s="647"/>
      <c r="H183" s="647"/>
      <c r="I183" s="647"/>
      <c r="J183" s="647"/>
      <c r="K183" s="647"/>
      <c r="L183" s="771"/>
      <c r="M183" s="10"/>
    </row>
    <row r="184" spans="2:13" x14ac:dyDescent="0.25">
      <c r="B184" s="747" t="str">
        <f>D$31</f>
        <v>tonnes</v>
      </c>
      <c r="C184" s="748"/>
      <c r="D184" s="748"/>
      <c r="E184" s="137"/>
      <c r="F184" s="137"/>
      <c r="G184" s="137"/>
      <c r="H184" s="137"/>
      <c r="I184" s="137"/>
      <c r="J184" s="137"/>
      <c r="K184" s="137"/>
      <c r="L184" s="138"/>
      <c r="M184" s="10"/>
    </row>
    <row r="185" spans="2:13" x14ac:dyDescent="0.25">
      <c r="B185" s="747" t="str">
        <f>D$32</f>
        <v>valeur de vente nette rendue (CAD)</v>
      </c>
      <c r="C185" s="748"/>
      <c r="D185" s="748"/>
      <c r="E185" s="137"/>
      <c r="F185" s="137"/>
      <c r="G185" s="137"/>
      <c r="H185" s="137"/>
      <c r="I185" s="137"/>
      <c r="J185" s="137"/>
      <c r="K185" s="137"/>
      <c r="L185" s="138"/>
      <c r="M185" s="10"/>
    </row>
    <row r="186" spans="2:13" x14ac:dyDescent="0.25">
      <c r="B186" s="747" t="str">
        <f>D$33</f>
        <v>$ / tonne</v>
      </c>
      <c r="C186" s="748"/>
      <c r="D186" s="748"/>
      <c r="E186" s="151" t="str">
        <f>IF(E184=0,"-",E185/E184)</f>
        <v>-</v>
      </c>
      <c r="F186" s="151" t="str">
        <f t="shared" ref="F186:L186" si="27">IF(F184=0,"-",F185/F184)</f>
        <v>-</v>
      </c>
      <c r="G186" s="151" t="str">
        <f t="shared" si="27"/>
        <v>-</v>
      </c>
      <c r="H186" s="151" t="str">
        <f t="shared" si="27"/>
        <v>-</v>
      </c>
      <c r="I186" s="151" t="str">
        <f t="shared" si="27"/>
        <v>-</v>
      </c>
      <c r="J186" s="151" t="str">
        <f t="shared" si="27"/>
        <v>-</v>
      </c>
      <c r="K186" s="151" t="str">
        <f t="shared" si="27"/>
        <v>-</v>
      </c>
      <c r="L186" s="152" t="str">
        <f t="shared" si="27"/>
        <v>-</v>
      </c>
      <c r="M186" s="10"/>
    </row>
    <row r="187" spans="2:13" x14ac:dyDescent="0.25">
      <c r="B187" s="768" t="str">
        <f>B116</f>
        <v xml:space="preserve">Tubage sans soudure P110 (y compris les améliorations) avec raccord API </v>
      </c>
      <c r="C187" s="641"/>
      <c r="D187" s="641"/>
      <c r="E187" s="641"/>
      <c r="F187" s="641"/>
      <c r="G187" s="641"/>
      <c r="H187" s="641"/>
      <c r="I187" s="641"/>
      <c r="J187" s="641"/>
      <c r="K187" s="641"/>
      <c r="L187" s="769"/>
      <c r="M187" s="10"/>
    </row>
    <row r="188" spans="2:13" x14ac:dyDescent="0.25">
      <c r="B188" s="770"/>
      <c r="C188" s="647"/>
      <c r="D188" s="647"/>
      <c r="E188" s="647"/>
      <c r="F188" s="647"/>
      <c r="G188" s="647"/>
      <c r="H188" s="647"/>
      <c r="I188" s="647"/>
      <c r="J188" s="647"/>
      <c r="K188" s="647"/>
      <c r="L188" s="771"/>
      <c r="M188" s="10"/>
    </row>
    <row r="189" spans="2:13" x14ac:dyDescent="0.25">
      <c r="B189" s="747" t="str">
        <f>D$31</f>
        <v>tonnes</v>
      </c>
      <c r="C189" s="748"/>
      <c r="D189" s="748"/>
      <c r="E189" s="137"/>
      <c r="F189" s="137"/>
      <c r="G189" s="137"/>
      <c r="H189" s="137"/>
      <c r="I189" s="137"/>
      <c r="J189" s="137"/>
      <c r="K189" s="137"/>
      <c r="L189" s="138"/>
      <c r="M189" s="10"/>
    </row>
    <row r="190" spans="2:13" x14ac:dyDescent="0.25">
      <c r="B190" s="747" t="str">
        <f>D$32</f>
        <v>valeur de vente nette rendue (CAD)</v>
      </c>
      <c r="C190" s="748"/>
      <c r="D190" s="748"/>
      <c r="E190" s="137"/>
      <c r="F190" s="137"/>
      <c r="G190" s="137"/>
      <c r="H190" s="137"/>
      <c r="I190" s="137"/>
      <c r="J190" s="137"/>
      <c r="K190" s="137"/>
      <c r="L190" s="138"/>
      <c r="M190" s="10"/>
    </row>
    <row r="191" spans="2:13" x14ac:dyDescent="0.25">
      <c r="B191" s="747" t="str">
        <f>D$33</f>
        <v>$ / tonne</v>
      </c>
      <c r="C191" s="748"/>
      <c r="D191" s="748"/>
      <c r="E191" s="151" t="str">
        <f>IF(E189=0,"-",E190/E189)</f>
        <v>-</v>
      </c>
      <c r="F191" s="151" t="str">
        <f t="shared" ref="F191:L191" si="28">IF(F189=0,"-",F190/F189)</f>
        <v>-</v>
      </c>
      <c r="G191" s="151" t="str">
        <f t="shared" si="28"/>
        <v>-</v>
      </c>
      <c r="H191" s="151" t="str">
        <f t="shared" si="28"/>
        <v>-</v>
      </c>
      <c r="I191" s="151" t="str">
        <f t="shared" si="28"/>
        <v>-</v>
      </c>
      <c r="J191" s="151" t="str">
        <f t="shared" si="28"/>
        <v>-</v>
      </c>
      <c r="K191" s="151" t="str">
        <f t="shared" si="28"/>
        <v>-</v>
      </c>
      <c r="L191" s="152" t="str">
        <f t="shared" si="28"/>
        <v>-</v>
      </c>
      <c r="M191" s="10"/>
    </row>
    <row r="192" spans="2:13" x14ac:dyDescent="0.25">
      <c r="B192" s="768" t="str">
        <f>B121</f>
        <v xml:space="preserve">Tubage soudé P110 (y compris les améliorations) avec raccord API </v>
      </c>
      <c r="C192" s="641"/>
      <c r="D192" s="641"/>
      <c r="E192" s="641"/>
      <c r="F192" s="641"/>
      <c r="G192" s="641"/>
      <c r="H192" s="641"/>
      <c r="I192" s="641"/>
      <c r="J192" s="641"/>
      <c r="K192" s="641"/>
      <c r="L192" s="769"/>
      <c r="M192" s="10"/>
    </row>
    <row r="193" spans="2:13" x14ac:dyDescent="0.25">
      <c r="B193" s="770"/>
      <c r="C193" s="647"/>
      <c r="D193" s="647"/>
      <c r="E193" s="647"/>
      <c r="F193" s="647"/>
      <c r="G193" s="647"/>
      <c r="H193" s="647"/>
      <c r="I193" s="647"/>
      <c r="J193" s="647"/>
      <c r="K193" s="647"/>
      <c r="L193" s="771"/>
      <c r="M193" s="10"/>
    </row>
    <row r="194" spans="2:13" x14ac:dyDescent="0.25">
      <c r="B194" s="747" t="str">
        <f>D$31</f>
        <v>tonnes</v>
      </c>
      <c r="C194" s="748"/>
      <c r="D194" s="748"/>
      <c r="E194" s="137"/>
      <c r="F194" s="137"/>
      <c r="G194" s="137"/>
      <c r="H194" s="137"/>
      <c r="I194" s="137"/>
      <c r="J194" s="137"/>
      <c r="K194" s="137"/>
      <c r="L194" s="138"/>
      <c r="M194" s="10"/>
    </row>
    <row r="195" spans="2:13" x14ac:dyDescent="0.25">
      <c r="B195" s="747" t="str">
        <f>D$32</f>
        <v>valeur de vente nette rendue (CAD)</v>
      </c>
      <c r="C195" s="748"/>
      <c r="D195" s="748"/>
      <c r="E195" s="137"/>
      <c r="F195" s="137"/>
      <c r="G195" s="137"/>
      <c r="H195" s="137"/>
      <c r="I195" s="137"/>
      <c r="J195" s="137"/>
      <c r="K195" s="137"/>
      <c r="L195" s="138"/>
      <c r="M195" s="10"/>
    </row>
    <row r="196" spans="2:13" x14ac:dyDescent="0.25">
      <c r="B196" s="747" t="str">
        <f>D$33</f>
        <v>$ / tonne</v>
      </c>
      <c r="C196" s="748"/>
      <c r="D196" s="748"/>
      <c r="E196" s="151" t="str">
        <f>IF(E194=0,"-",E195/E194)</f>
        <v>-</v>
      </c>
      <c r="F196" s="151" t="str">
        <f t="shared" ref="F196:L196" si="29">IF(F194=0,"-",F195/F194)</f>
        <v>-</v>
      </c>
      <c r="G196" s="151" t="str">
        <f t="shared" si="29"/>
        <v>-</v>
      </c>
      <c r="H196" s="151" t="str">
        <f t="shared" si="29"/>
        <v>-</v>
      </c>
      <c r="I196" s="151" t="str">
        <f t="shared" si="29"/>
        <v>-</v>
      </c>
      <c r="J196" s="151" t="str">
        <f t="shared" si="29"/>
        <v>-</v>
      </c>
      <c r="K196" s="151" t="str">
        <f t="shared" si="29"/>
        <v>-</v>
      </c>
      <c r="L196" s="152" t="str">
        <f t="shared" si="29"/>
        <v>-</v>
      </c>
      <c r="M196" s="10"/>
    </row>
    <row r="197" spans="2:13" x14ac:dyDescent="0.25">
      <c r="B197" s="768" t="str">
        <f>B126</f>
        <v>Tubage sans soudure P110 (y compris les améliorations) avec raccord de qualité semi-supérieure</v>
      </c>
      <c r="C197" s="641"/>
      <c r="D197" s="641"/>
      <c r="E197" s="641"/>
      <c r="F197" s="641"/>
      <c r="G197" s="641"/>
      <c r="H197" s="641"/>
      <c r="I197" s="641"/>
      <c r="J197" s="641"/>
      <c r="K197" s="641"/>
      <c r="L197" s="769"/>
      <c r="M197" s="10"/>
    </row>
    <row r="198" spans="2:13" x14ac:dyDescent="0.25">
      <c r="B198" s="770"/>
      <c r="C198" s="647"/>
      <c r="D198" s="647"/>
      <c r="E198" s="647"/>
      <c r="F198" s="647"/>
      <c r="G198" s="647"/>
      <c r="H198" s="647"/>
      <c r="I198" s="647"/>
      <c r="J198" s="647"/>
      <c r="K198" s="647"/>
      <c r="L198" s="771"/>
      <c r="M198" s="10"/>
    </row>
    <row r="199" spans="2:13" x14ac:dyDescent="0.25">
      <c r="B199" s="747" t="str">
        <f>D$31</f>
        <v>tonnes</v>
      </c>
      <c r="C199" s="748"/>
      <c r="D199" s="748"/>
      <c r="E199" s="137"/>
      <c r="F199" s="137"/>
      <c r="G199" s="137"/>
      <c r="H199" s="137"/>
      <c r="I199" s="137"/>
      <c r="J199" s="137"/>
      <c r="K199" s="137"/>
      <c r="L199" s="138"/>
      <c r="M199" s="10"/>
    </row>
    <row r="200" spans="2:13" x14ac:dyDescent="0.25">
      <c r="B200" s="747" t="str">
        <f>D$32</f>
        <v>valeur de vente nette rendue (CAD)</v>
      </c>
      <c r="C200" s="748"/>
      <c r="D200" s="748"/>
      <c r="E200" s="137"/>
      <c r="F200" s="137"/>
      <c r="G200" s="137"/>
      <c r="H200" s="137"/>
      <c r="I200" s="137"/>
      <c r="J200" s="137"/>
      <c r="K200" s="137"/>
      <c r="L200" s="138"/>
      <c r="M200" s="10"/>
    </row>
    <row r="201" spans="2:13" x14ac:dyDescent="0.25">
      <c r="B201" s="747" t="str">
        <f>D$33</f>
        <v>$ / tonne</v>
      </c>
      <c r="C201" s="748"/>
      <c r="D201" s="748"/>
      <c r="E201" s="151" t="str">
        <f>IF(E199=0,"-",E200/E199)</f>
        <v>-</v>
      </c>
      <c r="F201" s="151" t="str">
        <f t="shared" ref="F201:L201" si="30">IF(F199=0,"-",F200/F199)</f>
        <v>-</v>
      </c>
      <c r="G201" s="151" t="str">
        <f t="shared" si="30"/>
        <v>-</v>
      </c>
      <c r="H201" s="151" t="str">
        <f t="shared" si="30"/>
        <v>-</v>
      </c>
      <c r="I201" s="151" t="str">
        <f t="shared" si="30"/>
        <v>-</v>
      </c>
      <c r="J201" s="151" t="str">
        <f t="shared" si="30"/>
        <v>-</v>
      </c>
      <c r="K201" s="151" t="str">
        <f t="shared" si="30"/>
        <v>-</v>
      </c>
      <c r="L201" s="152" t="str">
        <f t="shared" si="30"/>
        <v>-</v>
      </c>
      <c r="M201" s="10"/>
    </row>
    <row r="202" spans="2:13" x14ac:dyDescent="0.25">
      <c r="B202" s="768" t="str">
        <f>B131</f>
        <v>Tubage soudé P110 (y compris les améliorations) avec raccord de qualité semi-supérieure</v>
      </c>
      <c r="C202" s="641"/>
      <c r="D202" s="641"/>
      <c r="E202" s="641"/>
      <c r="F202" s="641"/>
      <c r="G202" s="641"/>
      <c r="H202" s="641"/>
      <c r="I202" s="641"/>
      <c r="J202" s="641"/>
      <c r="K202" s="641"/>
      <c r="L202" s="769"/>
      <c r="M202" s="10"/>
    </row>
    <row r="203" spans="2:13" x14ac:dyDescent="0.25">
      <c r="B203" s="770"/>
      <c r="C203" s="647"/>
      <c r="D203" s="647"/>
      <c r="E203" s="647"/>
      <c r="F203" s="647"/>
      <c r="G203" s="647"/>
      <c r="H203" s="647"/>
      <c r="I203" s="647"/>
      <c r="J203" s="647"/>
      <c r="K203" s="647"/>
      <c r="L203" s="771"/>
      <c r="M203" s="10"/>
    </row>
    <row r="204" spans="2:13" x14ac:dyDescent="0.25">
      <c r="B204" s="747" t="str">
        <f>D$31</f>
        <v>tonnes</v>
      </c>
      <c r="C204" s="748"/>
      <c r="D204" s="748"/>
      <c r="E204" s="137"/>
      <c r="F204" s="137"/>
      <c r="G204" s="137"/>
      <c r="H204" s="137"/>
      <c r="I204" s="137"/>
      <c r="J204" s="137"/>
      <c r="K204" s="137"/>
      <c r="L204" s="138"/>
      <c r="M204" s="10"/>
    </row>
    <row r="205" spans="2:13" x14ac:dyDescent="0.25">
      <c r="B205" s="747" t="str">
        <f>D$32</f>
        <v>valeur de vente nette rendue (CAD)</v>
      </c>
      <c r="C205" s="748"/>
      <c r="D205" s="748"/>
      <c r="E205" s="137"/>
      <c r="F205" s="137"/>
      <c r="G205" s="137"/>
      <c r="H205" s="137"/>
      <c r="I205" s="137"/>
      <c r="J205" s="137"/>
      <c r="K205" s="137"/>
      <c r="L205" s="138"/>
      <c r="M205" s="10"/>
    </row>
    <row r="206" spans="2:13" x14ac:dyDescent="0.25">
      <c r="B206" s="747" t="str">
        <f>D$33</f>
        <v>$ / tonne</v>
      </c>
      <c r="C206" s="748"/>
      <c r="D206" s="748"/>
      <c r="E206" s="151" t="str">
        <f>IF(E204=0,"-",E205/E204)</f>
        <v>-</v>
      </c>
      <c r="F206" s="151" t="str">
        <f t="shared" ref="F206:L206" si="31">IF(F204=0,"-",F205/F204)</f>
        <v>-</v>
      </c>
      <c r="G206" s="151" t="str">
        <f t="shared" si="31"/>
        <v>-</v>
      </c>
      <c r="H206" s="151" t="str">
        <f t="shared" si="31"/>
        <v>-</v>
      </c>
      <c r="I206" s="151" t="str">
        <f t="shared" si="31"/>
        <v>-</v>
      </c>
      <c r="J206" s="151" t="str">
        <f t="shared" si="31"/>
        <v>-</v>
      </c>
      <c r="K206" s="151" t="str">
        <f t="shared" si="31"/>
        <v>-</v>
      </c>
      <c r="L206" s="152" t="str">
        <f t="shared" si="31"/>
        <v>-</v>
      </c>
      <c r="M206" s="10"/>
    </row>
    <row r="207" spans="2:13" x14ac:dyDescent="0.25">
      <c r="B207" s="768" t="str">
        <f>B136</f>
        <v>Tubage sans soudure T95 (y compris les améliorations) avec raccord semi-supérieure</v>
      </c>
      <c r="C207" s="641"/>
      <c r="D207" s="641"/>
      <c r="E207" s="641"/>
      <c r="F207" s="641"/>
      <c r="G207" s="641"/>
      <c r="H207" s="641"/>
      <c r="I207" s="641"/>
      <c r="J207" s="641"/>
      <c r="K207" s="641"/>
      <c r="L207" s="769"/>
      <c r="M207" s="10"/>
    </row>
    <row r="208" spans="2:13" x14ac:dyDescent="0.25">
      <c r="B208" s="770"/>
      <c r="C208" s="647"/>
      <c r="D208" s="647"/>
      <c r="E208" s="647"/>
      <c r="F208" s="647"/>
      <c r="G208" s="647"/>
      <c r="H208" s="647"/>
      <c r="I208" s="647"/>
      <c r="J208" s="647"/>
      <c r="K208" s="647"/>
      <c r="L208" s="771"/>
      <c r="M208" s="10"/>
    </row>
    <row r="209" spans="2:19" x14ac:dyDescent="0.25">
      <c r="B209" s="747" t="str">
        <f>D$31</f>
        <v>tonnes</v>
      </c>
      <c r="C209" s="748"/>
      <c r="D209" s="748"/>
      <c r="E209" s="137"/>
      <c r="F209" s="137"/>
      <c r="G209" s="137"/>
      <c r="H209" s="137"/>
      <c r="I209" s="137"/>
      <c r="J209" s="137"/>
      <c r="K209" s="137"/>
      <c r="L209" s="138"/>
      <c r="M209" s="10"/>
    </row>
    <row r="210" spans="2:19" x14ac:dyDescent="0.25">
      <c r="B210" s="747" t="str">
        <f>D$32</f>
        <v>valeur de vente nette rendue (CAD)</v>
      </c>
      <c r="C210" s="748"/>
      <c r="D210" s="748"/>
      <c r="E210" s="137"/>
      <c r="F210" s="137"/>
      <c r="G210" s="137"/>
      <c r="H210" s="137"/>
      <c r="I210" s="137"/>
      <c r="J210" s="137"/>
      <c r="K210" s="137"/>
      <c r="L210" s="138"/>
      <c r="M210" s="10"/>
    </row>
    <row r="211" spans="2:19" x14ac:dyDescent="0.25">
      <c r="B211" s="747" t="str">
        <f>D$33</f>
        <v>$ / tonne</v>
      </c>
      <c r="C211" s="748"/>
      <c r="D211" s="748"/>
      <c r="E211" s="151" t="str">
        <f>IF(E209=0,"-",E210/E209)</f>
        <v>-</v>
      </c>
      <c r="F211" s="151" t="str">
        <f t="shared" ref="F211:L211" si="32">IF(F209=0,"-",F210/F209)</f>
        <v>-</v>
      </c>
      <c r="G211" s="151" t="str">
        <f t="shared" si="32"/>
        <v>-</v>
      </c>
      <c r="H211" s="151" t="str">
        <f t="shared" si="32"/>
        <v>-</v>
      </c>
      <c r="I211" s="151" t="str">
        <f t="shared" si="32"/>
        <v>-</v>
      </c>
      <c r="J211" s="151" t="str">
        <f t="shared" si="32"/>
        <v>-</v>
      </c>
      <c r="K211" s="151" t="str">
        <f t="shared" si="32"/>
        <v>-</v>
      </c>
      <c r="L211" s="152" t="str">
        <f t="shared" si="32"/>
        <v>-</v>
      </c>
      <c r="M211" s="10"/>
    </row>
    <row r="212" spans="2:19" x14ac:dyDescent="0.25">
      <c r="B212" s="768" t="str">
        <f>B141</f>
        <v>Tubage sans soudure P110S (y compris les améliorations) ou nuance similaire pour milieux modérément acides avec raccord de qualité semi-supérieure</v>
      </c>
      <c r="C212" s="641"/>
      <c r="D212" s="641"/>
      <c r="E212" s="641"/>
      <c r="F212" s="641"/>
      <c r="G212" s="641"/>
      <c r="H212" s="641"/>
      <c r="I212" s="641"/>
      <c r="J212" s="641"/>
      <c r="K212" s="641"/>
      <c r="L212" s="769"/>
      <c r="M212" s="10"/>
    </row>
    <row r="213" spans="2:19" x14ac:dyDescent="0.25">
      <c r="B213" s="770"/>
      <c r="C213" s="647"/>
      <c r="D213" s="647"/>
      <c r="E213" s="647"/>
      <c r="F213" s="647"/>
      <c r="G213" s="647"/>
      <c r="H213" s="647"/>
      <c r="I213" s="647"/>
      <c r="J213" s="647"/>
      <c r="K213" s="647"/>
      <c r="L213" s="771"/>
      <c r="M213" s="10"/>
    </row>
    <row r="214" spans="2:19" x14ac:dyDescent="0.25">
      <c r="B214" s="747" t="str">
        <f>D$31</f>
        <v>tonnes</v>
      </c>
      <c r="C214" s="748"/>
      <c r="D214" s="748"/>
      <c r="E214" s="137"/>
      <c r="F214" s="137"/>
      <c r="G214" s="137"/>
      <c r="H214" s="137"/>
      <c r="I214" s="137"/>
      <c r="J214" s="137"/>
      <c r="K214" s="137"/>
      <c r="L214" s="138"/>
      <c r="M214" s="10"/>
    </row>
    <row r="215" spans="2:19" x14ac:dyDescent="0.25">
      <c r="B215" s="747" t="str">
        <f>D$32</f>
        <v>valeur de vente nette rendue (CAD)</v>
      </c>
      <c r="C215" s="748"/>
      <c r="D215" s="748"/>
      <c r="E215" s="137"/>
      <c r="F215" s="137"/>
      <c r="G215" s="137"/>
      <c r="H215" s="137"/>
      <c r="I215" s="137"/>
      <c r="J215" s="137"/>
      <c r="K215" s="137"/>
      <c r="L215" s="138"/>
      <c r="M215" s="10"/>
    </row>
    <row r="216" spans="2:19" x14ac:dyDescent="0.25">
      <c r="B216" s="747" t="str">
        <f>D$33</f>
        <v>$ / tonne</v>
      </c>
      <c r="C216" s="748"/>
      <c r="D216" s="748"/>
      <c r="E216" s="151" t="str">
        <f>IF(E214=0,"-",E215/E214)</f>
        <v>-</v>
      </c>
      <c r="F216" s="151" t="str">
        <f t="shared" ref="F216:L216" si="33">IF(F214=0,"-",F215/F214)</f>
        <v>-</v>
      </c>
      <c r="G216" s="151" t="str">
        <f t="shared" si="33"/>
        <v>-</v>
      </c>
      <c r="H216" s="151" t="str">
        <f t="shared" si="33"/>
        <v>-</v>
      </c>
      <c r="I216" s="151" t="str">
        <f t="shared" si="33"/>
        <v>-</v>
      </c>
      <c r="J216" s="151" t="str">
        <f t="shared" si="33"/>
        <v>-</v>
      </c>
      <c r="K216" s="151" t="str">
        <f t="shared" si="33"/>
        <v>-</v>
      </c>
      <c r="L216" s="152" t="str">
        <f t="shared" si="33"/>
        <v>-</v>
      </c>
      <c r="M216" s="10"/>
    </row>
    <row r="217" spans="2:19" x14ac:dyDescent="0.25">
      <c r="B217" s="260"/>
      <c r="C217" s="261"/>
      <c r="D217" s="261"/>
      <c r="E217" s="29"/>
      <c r="F217" s="29"/>
      <c r="G217" s="29"/>
      <c r="H217" s="29"/>
      <c r="I217" s="29"/>
      <c r="J217" s="29"/>
      <c r="K217" s="29"/>
      <c r="L217" s="30"/>
      <c r="M217" s="10"/>
    </row>
    <row r="218" spans="2:19" x14ac:dyDescent="0.25">
      <c r="B218" s="527" t="str">
        <f>IF(Intro!$G$20="English",O218,P218)</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18" s="528"/>
      <c r="D218" s="528"/>
      <c r="E218" s="528"/>
      <c r="F218" s="528"/>
      <c r="G218" s="528"/>
      <c r="H218" s="528"/>
      <c r="I218" s="528"/>
      <c r="J218" s="528"/>
      <c r="K218" s="528"/>
      <c r="L218" s="529"/>
      <c r="M218" s="10"/>
      <c r="O218" s="10" t="s">
        <v>363</v>
      </c>
      <c r="P218" s="10" t="s">
        <v>401</v>
      </c>
      <c r="S218" s="38"/>
    </row>
    <row r="219" spans="2:19" x14ac:dyDescent="0.25">
      <c r="B219" s="527"/>
      <c r="C219" s="528"/>
      <c r="D219" s="528"/>
      <c r="E219" s="528"/>
      <c r="F219" s="528"/>
      <c r="G219" s="528"/>
      <c r="H219" s="528"/>
      <c r="I219" s="528"/>
      <c r="J219" s="528"/>
      <c r="K219" s="528"/>
      <c r="L219" s="529"/>
      <c r="M219" s="10"/>
      <c r="S219" s="38"/>
    </row>
    <row r="220" spans="2:19" x14ac:dyDescent="0.25">
      <c r="B220" s="214"/>
      <c r="C220" s="215"/>
      <c r="D220" s="215"/>
      <c r="E220" s="29"/>
      <c r="F220" s="29"/>
      <c r="G220" s="29"/>
      <c r="H220" s="29"/>
      <c r="I220" s="29"/>
      <c r="J220" s="29"/>
      <c r="K220" s="29"/>
      <c r="L220" s="30"/>
      <c r="M220" s="10"/>
      <c r="S220" s="38"/>
    </row>
    <row r="221" spans="2:19" ht="14.1" customHeight="1" x14ac:dyDescent="0.25">
      <c r="B221" s="760" t="str">
        <f>Variables!D66</f>
        <v>Vérification - volume</v>
      </c>
      <c r="C221" s="761"/>
      <c r="D221" s="761"/>
      <c r="E221" s="761"/>
      <c r="F221" s="762"/>
      <c r="G221" s="218">
        <f>G150</f>
        <v>2024</v>
      </c>
      <c r="H221" s="218">
        <f>H150</f>
        <v>2025</v>
      </c>
      <c r="I221" s="218" t="str">
        <f>I150</f>
        <v>janv.-mars 2025</v>
      </c>
      <c r="J221" s="218" t="str">
        <f>J150</f>
        <v>janv.-mars 2026</v>
      </c>
      <c r="K221" s="225"/>
      <c r="L221" s="226"/>
      <c r="M221" s="10"/>
      <c r="O221" s="18"/>
    </row>
    <row r="222" spans="2:19" ht="14.1" customHeight="1" x14ac:dyDescent="0.25">
      <c r="B222" s="757" t="str">
        <f>B169</f>
        <v>tonnes</v>
      </c>
      <c r="C222" s="758"/>
      <c r="D222" s="758"/>
      <c r="E222" s="758"/>
      <c r="F222" s="759"/>
      <c r="G222" s="187" t="str">
        <f>IF(SUM(E169:G169,E174:G174,E179:G179,E184:G184,E189:G189,E194:G194,E199:G199,E204:G204,E209:G209,E214:G214)&gt;H44,Variables!$D$67,Variables!$D$68)</f>
        <v>Correct</v>
      </c>
      <c r="H222" s="187" t="str">
        <f>IF(SUM(H169:K169,H174:K174,H179:K179,H184:K184,H189:K189,H194:K194,H199:K199,H204:K204,H209:K209,H214:K214)&gt;I44,Variables!$D$67,Variables!$D$68)</f>
        <v>Correct</v>
      </c>
      <c r="I222" s="187" t="str">
        <f>IF(SUM(H169,H174,H179,H184,H189,H194,H199,H204,H209,H214)&gt;J44,Variables!$D$67,Variables!$D$68)</f>
        <v>Correct</v>
      </c>
      <c r="J222" s="187" t="str">
        <f>IF(SUM(L169,L174,L179,L184,L189,L194,L199,L204,L209,L214)&gt;K44,Variables!$D$67,Variables!$D$68)</f>
        <v>Correct</v>
      </c>
      <c r="K222" s="225"/>
      <c r="L222" s="226"/>
      <c r="M222" s="10"/>
    </row>
    <row r="223" spans="2:19" ht="27" customHeight="1" x14ac:dyDescent="0.25">
      <c r="B223" s="763" t="str">
        <f>IF(Intro!$G$20="English",O223,P223)</f>
        <v>volume - total des ventes au Canada d'importations des produits de référence (Question 4)</v>
      </c>
      <c r="C223" s="764"/>
      <c r="D223" s="764"/>
      <c r="E223" s="764"/>
      <c r="F223" s="765"/>
      <c r="G223" s="191">
        <f>(SUM(E169:G169,E174:G174,E179:G179,E184:G184,E189:G189,E194:G194,E199:G199,E204:G204,E209:G209,E214:G214))</f>
        <v>0</v>
      </c>
      <c r="H223" s="191">
        <f>SUM(H169:K169,H174:K174,H179:K179,H184:K184,H189:K189,H194:K194,H199:K199,H204:K204,H209:K209,H214:K214)</f>
        <v>0</v>
      </c>
      <c r="I223" s="191">
        <f>SUM(H169,H174,H179,H184,H189,H194,H199,H204,H209,H214)</f>
        <v>0</v>
      </c>
      <c r="J223" s="191">
        <f>SUM(L169,L174,L179,L184,L189,L194,L199,L204,L209,L214)</f>
        <v>0</v>
      </c>
      <c r="K223" s="225"/>
      <c r="L223" s="226"/>
      <c r="M223" s="10"/>
      <c r="O223" s="10" t="s">
        <v>447</v>
      </c>
      <c r="P223" s="10" t="s">
        <v>449</v>
      </c>
    </row>
    <row r="224" spans="2:19" ht="27" customHeight="1" x14ac:dyDescent="0.25">
      <c r="B224" s="763" t="str">
        <f>IF(Intro!$G$20="English",O224,P224)</f>
        <v>volume - total des ventes au Canada d'importations (Question 1)</v>
      </c>
      <c r="C224" s="764"/>
      <c r="D224" s="764"/>
      <c r="E224" s="764"/>
      <c r="F224" s="765"/>
      <c r="G224" s="187">
        <f>H44</f>
        <v>0</v>
      </c>
      <c r="H224" s="187">
        <f>I44</f>
        <v>0</v>
      </c>
      <c r="I224" s="187">
        <f>J44</f>
        <v>0</v>
      </c>
      <c r="J224" s="187">
        <f>K44</f>
        <v>0</v>
      </c>
      <c r="K224" s="225"/>
      <c r="L224" s="226"/>
      <c r="M224" s="10"/>
      <c r="O224" s="10" t="s">
        <v>440</v>
      </c>
      <c r="P224" s="10" t="s">
        <v>442</v>
      </c>
    </row>
    <row r="225" spans="1:16" x14ac:dyDescent="0.25">
      <c r="B225" s="760" t="str">
        <f>Variables!D70</f>
        <v>Vérification - valeur</v>
      </c>
      <c r="C225" s="761"/>
      <c r="D225" s="761"/>
      <c r="E225" s="761"/>
      <c r="F225" s="762"/>
      <c r="G225" s="218">
        <f>G221</f>
        <v>2024</v>
      </c>
      <c r="H225" s="218">
        <f t="shared" ref="H225:J225" si="34">H221</f>
        <v>2025</v>
      </c>
      <c r="I225" s="218" t="str">
        <f t="shared" si="34"/>
        <v>janv.-mars 2025</v>
      </c>
      <c r="J225" s="218" t="str">
        <f t="shared" si="34"/>
        <v>janv.-mars 2026</v>
      </c>
      <c r="K225" s="225"/>
      <c r="L225" s="226"/>
      <c r="M225" s="10"/>
    </row>
    <row r="226" spans="1:16" ht="14.1" customHeight="1" x14ac:dyDescent="0.25">
      <c r="B226" s="757" t="str">
        <f>B170</f>
        <v>valeur de vente nette rendue (CAD)</v>
      </c>
      <c r="C226" s="758"/>
      <c r="D226" s="758"/>
      <c r="E226" s="758"/>
      <c r="F226" s="759"/>
      <c r="G226" s="187" t="str">
        <f>IF(SUM(E170:G170,E175:G175,E180:G180,E185:G185,E190:G190,E195:G195,E200:G200,E205:G205,E210:G210,E215:G215)&gt;H45,Variables!$D$67,Variables!$D$68)</f>
        <v>Correct</v>
      </c>
      <c r="H226" s="187" t="str">
        <f>IF(SUM(H170:K170,H175:K175,H180:K180,H185:K185,H190:K190,H195:K195,H200:K200,H205:K205,H210:K210,H215:K215)&gt;I45,Variables!$D$67,Variables!$D$68)</f>
        <v>Correct</v>
      </c>
      <c r="I226" s="187" t="str">
        <f>IF(SUM(H170,H175,H180,H185,H190,H195,H200,H205,H210,H215)&gt;J45,Variables!$D$67,Variables!$D$68)</f>
        <v>Correct</v>
      </c>
      <c r="J226" s="187" t="str">
        <f>IF(SUM(L170,L175,L180,L185,L190,L195,L200,L205,L210,L215)&gt;K45,Variables!$D$67,Variables!$D$68)</f>
        <v>Correct</v>
      </c>
      <c r="K226" s="225"/>
      <c r="L226" s="226"/>
      <c r="M226" s="10"/>
    </row>
    <row r="227" spans="1:16" ht="26.25" customHeight="1" x14ac:dyDescent="0.25">
      <c r="B227" s="763" t="str">
        <f>IF(Intro!$G$20="English",O227,P227)</f>
        <v>valeur - total des ventes au Canada d'importations des produits de référence (Question 4)</v>
      </c>
      <c r="C227" s="764"/>
      <c r="D227" s="764"/>
      <c r="E227" s="764"/>
      <c r="F227" s="765"/>
      <c r="G227" s="191">
        <f>SUM(E170:G170,E175:G175,E180:G180,E185:G185,E190:G190,E195:G195,E200:G200,E205:G205,E210:G210,E215:G215)</f>
        <v>0</v>
      </c>
      <c r="H227" s="191">
        <f>SUM(H170:K170,H175:K175,H180:K180,H185:K185,H190:K190,H195:K195,H200:K200,H205:K205,H210:K210,H215:K215)</f>
        <v>0</v>
      </c>
      <c r="I227" s="191">
        <f>SUM(H170,H175,H180,H185,H190,H195,H200,H205,H210,H215)</f>
        <v>0</v>
      </c>
      <c r="J227" s="191">
        <f>SUM(L170,L175,L180,L185,L190,L195,L200,L205,L210,L215)</f>
        <v>0</v>
      </c>
      <c r="K227" s="225"/>
      <c r="L227" s="226"/>
      <c r="M227" s="10"/>
      <c r="O227" s="10" t="s">
        <v>448</v>
      </c>
      <c r="P227" s="10" t="s">
        <v>450</v>
      </c>
    </row>
    <row r="228" spans="1:16" ht="14.1" customHeight="1" x14ac:dyDescent="0.25">
      <c r="B228" s="763" t="str">
        <f>IF(Intro!$G$20="English",O228,P228)</f>
        <v>valeur - total des ventes au Canada d'importations (Question 1)</v>
      </c>
      <c r="C228" s="764"/>
      <c r="D228" s="764"/>
      <c r="E228" s="764"/>
      <c r="F228" s="765"/>
      <c r="G228" s="187">
        <f>H45</f>
        <v>0</v>
      </c>
      <c r="H228" s="187">
        <f>I45</f>
        <v>0</v>
      </c>
      <c r="I228" s="187">
        <f>J45</f>
        <v>0</v>
      </c>
      <c r="J228" s="187">
        <f>K45</f>
        <v>0</v>
      </c>
      <c r="K228" s="225"/>
      <c r="L228" s="226"/>
      <c r="M228" s="10"/>
      <c r="O228" s="10" t="s">
        <v>446</v>
      </c>
      <c r="P228" s="10" t="s">
        <v>444</v>
      </c>
    </row>
    <row r="229" spans="1:16" x14ac:dyDescent="0.25">
      <c r="B229" s="72"/>
      <c r="C229" s="82"/>
      <c r="D229" s="82"/>
      <c r="E229" s="82"/>
      <c r="F229" s="82"/>
      <c r="G229" s="82"/>
      <c r="H229" s="82"/>
      <c r="I229" s="82"/>
      <c r="J229" s="82"/>
      <c r="K229" s="82"/>
      <c r="L229" s="83"/>
      <c r="M229" s="10"/>
    </row>
    <row r="230" spans="1:16" s="44" customFormat="1" x14ac:dyDescent="0.25">
      <c r="A230" s="92"/>
      <c r="B230" s="4"/>
      <c r="C230" s="4"/>
      <c r="D230" s="77"/>
      <c r="E230" s="77"/>
      <c r="F230" s="77"/>
      <c r="G230" s="77"/>
      <c r="H230" s="77"/>
      <c r="I230" s="77"/>
      <c r="J230" s="77"/>
      <c r="K230" s="77"/>
      <c r="L230" s="77"/>
      <c r="N230" s="78"/>
    </row>
    <row r="231" spans="1:16" x14ac:dyDescent="0.25">
      <c r="B231" s="533" t="str">
        <f>IF(Intro!$G$20="English",O231,P231)</f>
        <v>DONNÉES SUR LES IMPORTATIONS POUR LA PÉRIODE D'ENQUÊTE ANTIDUMPING DE L'ASFC</v>
      </c>
      <c r="C231" s="534"/>
      <c r="D231" s="534"/>
      <c r="E231" s="534"/>
      <c r="F231" s="534"/>
      <c r="G231" s="534"/>
      <c r="H231" s="534"/>
      <c r="I231" s="534"/>
      <c r="J231" s="534"/>
      <c r="K231" s="534"/>
      <c r="L231" s="535"/>
      <c r="M231" s="10"/>
      <c r="O231" s="105" t="s">
        <v>337</v>
      </c>
      <c r="P231" s="105" t="s">
        <v>338</v>
      </c>
    </row>
    <row r="232" spans="1:16" s="207" customFormat="1" x14ac:dyDescent="0.25">
      <c r="A232" s="7"/>
      <c r="B232" s="671" t="s">
        <v>18</v>
      </c>
      <c r="C232" s="672"/>
      <c r="D232" s="672"/>
      <c r="E232" s="672"/>
      <c r="F232" s="672"/>
      <c r="G232" s="672"/>
      <c r="H232" s="672"/>
      <c r="I232" s="672"/>
      <c r="J232" s="672"/>
      <c r="K232" s="672"/>
      <c r="L232" s="673"/>
      <c r="M232" s="73"/>
      <c r="O232" s="10"/>
    </row>
    <row r="233" spans="1:16" x14ac:dyDescent="0.25">
      <c r="B233" s="16"/>
      <c r="C233" s="35"/>
      <c r="D233" s="35"/>
      <c r="E233" s="36"/>
      <c r="F233" s="36"/>
      <c r="G233" s="36"/>
      <c r="H233" s="36"/>
      <c r="I233" s="36"/>
      <c r="J233" s="36"/>
      <c r="K233" s="36"/>
      <c r="L233" s="17"/>
      <c r="M233" s="10"/>
    </row>
    <row r="234" spans="1:16" x14ac:dyDescent="0.25">
      <c r="B234" s="530" t="str">
        <f>IF(Intro!$G$20="English",O234,P234)</f>
        <v>Indiquez le volume et la valeur des importations pendant la période d'enquête de dumping de l'ASFC :</v>
      </c>
      <c r="C234" s="531"/>
      <c r="D234" s="531"/>
      <c r="E234" s="531"/>
      <c r="F234" s="531"/>
      <c r="G234" s="531"/>
      <c r="H234" s="531"/>
      <c r="I234" s="531"/>
      <c r="J234" s="531"/>
      <c r="K234" s="531"/>
      <c r="L234" s="532"/>
      <c r="M234" s="10"/>
      <c r="O234" s="18" t="s">
        <v>199</v>
      </c>
      <c r="P234" s="10" t="s">
        <v>200</v>
      </c>
    </row>
    <row r="235" spans="1:16" x14ac:dyDescent="0.25">
      <c r="B235" s="214"/>
      <c r="C235" s="215"/>
      <c r="D235" s="35"/>
      <c r="E235" s="36"/>
      <c r="F235" s="36"/>
      <c r="G235" s="36"/>
      <c r="H235" s="36"/>
      <c r="I235" s="36"/>
      <c r="J235" s="36"/>
      <c r="K235" s="36"/>
      <c r="L235" s="17"/>
      <c r="M235" s="10"/>
      <c r="O235" s="18"/>
    </row>
    <row r="236" spans="1:16" ht="29.25" customHeight="1" x14ac:dyDescent="0.25">
      <c r="B236" s="48"/>
      <c r="C236" s="45"/>
      <c r="D236" s="35"/>
      <c r="E236" s="10"/>
      <c r="F236" s="775" t="str">
        <f>IF(Intro!$G$20="English",Variables!B41,Variables!C41)</f>
        <v>1er décembre 2024 - 30 novembre 2025</v>
      </c>
      <c r="G236" s="776"/>
      <c r="H236" s="225"/>
      <c r="I236" s="225"/>
      <c r="J236" s="225"/>
      <c r="K236" s="225"/>
      <c r="L236" s="71"/>
      <c r="M236" s="10"/>
      <c r="O236" s="47"/>
      <c r="P236" s="47"/>
    </row>
    <row r="237" spans="1:16" x14ac:dyDescent="0.25">
      <c r="B237" s="567" t="str">
        <f>IF(Intro!$G$20="English",O237,P237)</f>
        <v>Importations</v>
      </c>
      <c r="C237" s="748" t="str">
        <f>D26</f>
        <v>tonnes</v>
      </c>
      <c r="D237" s="748"/>
      <c r="E237" s="748"/>
      <c r="F237" s="777"/>
      <c r="G237" s="778"/>
      <c r="H237" s="225"/>
      <c r="I237" s="225"/>
      <c r="J237" s="225"/>
      <c r="K237" s="225"/>
      <c r="L237" s="71"/>
      <c r="M237" s="10"/>
      <c r="O237" s="10" t="s">
        <v>91</v>
      </c>
      <c r="P237" s="10" t="s">
        <v>170</v>
      </c>
    </row>
    <row r="238" spans="1:16" x14ac:dyDescent="0.25">
      <c r="B238" s="567"/>
      <c r="C238" s="748" t="str">
        <f>D27</f>
        <v>valeur d'achat nette rendue (CAD)</v>
      </c>
      <c r="D238" s="748"/>
      <c r="E238" s="748"/>
      <c r="F238" s="777"/>
      <c r="G238" s="778"/>
      <c r="H238" s="225"/>
      <c r="I238" s="225"/>
      <c r="J238" s="225"/>
      <c r="K238" s="225"/>
      <c r="L238" s="71"/>
      <c r="M238" s="10"/>
    </row>
    <row r="239" spans="1:16" x14ac:dyDescent="0.25">
      <c r="B239" s="567"/>
      <c r="C239" s="748" t="str">
        <f>D28</f>
        <v>$ / tonne</v>
      </c>
      <c r="D239" s="748"/>
      <c r="E239" s="748"/>
      <c r="F239" s="779" t="str">
        <f>IF(F237=0,"-",F238/F237)</f>
        <v>-</v>
      </c>
      <c r="G239" s="780"/>
      <c r="H239" s="88"/>
      <c r="I239" s="88"/>
      <c r="J239" s="88"/>
      <c r="K239" s="88"/>
      <c r="L239" s="71"/>
      <c r="M239" s="10"/>
    </row>
    <row r="240" spans="1:16" x14ac:dyDescent="0.25">
      <c r="B240" s="46"/>
      <c r="C240" s="115"/>
      <c r="D240" s="115"/>
      <c r="E240" s="34"/>
      <c r="F240" s="34"/>
      <c r="G240" s="34"/>
      <c r="H240" s="34"/>
      <c r="I240" s="34"/>
      <c r="J240" s="34"/>
      <c r="K240" s="34"/>
      <c r="L240" s="37"/>
      <c r="M240" s="10"/>
    </row>
    <row r="241" spans="1:19" s="44" customFormat="1" x14ac:dyDescent="0.25">
      <c r="A241" s="92"/>
      <c r="B241" s="4"/>
      <c r="C241" s="4"/>
      <c r="D241" s="77"/>
      <c r="E241" s="77"/>
      <c r="F241" s="77"/>
      <c r="G241" s="77"/>
      <c r="H241" s="77"/>
      <c r="I241" s="77"/>
      <c r="J241" s="77"/>
      <c r="K241" s="77"/>
      <c r="L241" s="77"/>
      <c r="N241" s="78"/>
    </row>
    <row r="242" spans="1:19" x14ac:dyDescent="0.25">
      <c r="B242" s="533" t="str">
        <f>UPPER(IF(Intro!$G$20="English",O242,P242))</f>
        <v>DONNÉES SUR LES IMPORTATIONS POUR L'ANALYSE DES IMPORTATIONS MASSIVES</v>
      </c>
      <c r="C242" s="534"/>
      <c r="D242" s="534"/>
      <c r="E242" s="534"/>
      <c r="F242" s="534"/>
      <c r="G242" s="534"/>
      <c r="H242" s="534"/>
      <c r="I242" s="534"/>
      <c r="J242" s="534"/>
      <c r="K242" s="534"/>
      <c r="L242" s="535"/>
      <c r="M242" s="10"/>
      <c r="O242" s="105" t="s">
        <v>339</v>
      </c>
      <c r="P242" s="105" t="s">
        <v>402</v>
      </c>
    </row>
    <row r="243" spans="1:19" s="207" customFormat="1" x14ac:dyDescent="0.25">
      <c r="A243" s="7"/>
      <c r="B243" s="671" t="s">
        <v>19</v>
      </c>
      <c r="C243" s="672"/>
      <c r="D243" s="672"/>
      <c r="E243" s="672"/>
      <c r="F243" s="672"/>
      <c r="G243" s="672"/>
      <c r="H243" s="672"/>
      <c r="I243" s="672"/>
      <c r="J243" s="672"/>
      <c r="K243" s="672"/>
      <c r="L243" s="673"/>
      <c r="M243" s="73"/>
      <c r="O243" s="10"/>
    </row>
    <row r="244" spans="1:19" x14ac:dyDescent="0.25">
      <c r="B244" s="16"/>
      <c r="C244" s="35"/>
      <c r="D244" s="35"/>
      <c r="E244" s="36"/>
      <c r="F244" s="36"/>
      <c r="G244" s="36"/>
      <c r="H244" s="36"/>
      <c r="I244" s="36"/>
      <c r="J244" s="36"/>
      <c r="K244" s="36"/>
      <c r="L244" s="17"/>
      <c r="M244" s="10"/>
    </row>
    <row r="245" spans="1:19" x14ac:dyDescent="0.25">
      <c r="B245" s="530" t="str">
        <f>IF(Intro!$G$20="English",O245,P245)</f>
        <v>Indiquez le volume des importations et le stock de clôture au Canada des marchandises provenant de l'exportateur décrit ci-dessus :</v>
      </c>
      <c r="C245" s="531"/>
      <c r="D245" s="531"/>
      <c r="E245" s="531"/>
      <c r="F245" s="531"/>
      <c r="G245" s="531"/>
      <c r="H245" s="531"/>
      <c r="I245" s="531"/>
      <c r="J245" s="531"/>
      <c r="K245" s="531"/>
      <c r="L245" s="532"/>
      <c r="M245" s="10"/>
      <c r="O245" s="18" t="s">
        <v>194</v>
      </c>
      <c r="P245" s="10" t="s">
        <v>404</v>
      </c>
    </row>
    <row r="246" spans="1:19" x14ac:dyDescent="0.25">
      <c r="B246" s="214"/>
      <c r="C246" s="215"/>
      <c r="D246" s="35"/>
      <c r="E246" s="36"/>
      <c r="F246" s="36"/>
      <c r="G246" s="36"/>
      <c r="H246" s="36"/>
      <c r="I246" s="36"/>
      <c r="J246" s="36"/>
      <c r="K246" s="36"/>
      <c r="L246" s="17"/>
      <c r="M246" s="10"/>
      <c r="O246" s="18"/>
    </row>
    <row r="247" spans="1:19" x14ac:dyDescent="0.25">
      <c r="B247" s="214"/>
      <c r="C247" s="215"/>
      <c r="D247" s="35"/>
      <c r="E247" s="266" t="str">
        <f>IF(Intro!$G$20="English",Variables!B83,Variables!C83)</f>
        <v>T2 2024</v>
      </c>
      <c r="F247" s="266" t="str">
        <f>IF(Intro!$G$20="English",Variables!B84,Variables!C84)</f>
        <v>T3 2024</v>
      </c>
      <c r="G247" s="266" t="str">
        <f>IF(Intro!$G$20="English",Variables!B74,Variables!C74)</f>
        <v>T4 2024</v>
      </c>
      <c r="H247" s="266" t="str">
        <f>IF(Intro!$G$20="English",Variables!B75,Variables!C75)</f>
        <v>T1 2025</v>
      </c>
      <c r="I247" s="266" t="str">
        <f>IF(Intro!$G$20="English",Variables!B76,Variables!C76)</f>
        <v>T2 2025</v>
      </c>
      <c r="J247" s="266" t="str">
        <f>IF(Intro!$G$20="English",Variables!B77,Variables!C77)</f>
        <v>T3 2025</v>
      </c>
      <c r="K247" s="266" t="str">
        <f>IF(Intro!$G$20="English",Variables!B78,Variables!C78)</f>
        <v>T4 2025</v>
      </c>
      <c r="L247" s="266" t="str">
        <f>IF(Intro!$G$20="English",Variables!B79,Variables!C79)</f>
        <v>T1 2026</v>
      </c>
      <c r="M247" s="10"/>
      <c r="O247" s="18"/>
    </row>
    <row r="248" spans="1:19" x14ac:dyDescent="0.25">
      <c r="B248" s="745" t="str">
        <f>B237</f>
        <v>Importations</v>
      </c>
      <c r="C248" s="746"/>
      <c r="D248" s="224" t="str">
        <f>C237</f>
        <v>tonnes</v>
      </c>
      <c r="E248" s="181"/>
      <c r="F248" s="181"/>
      <c r="G248" s="181"/>
      <c r="H248" s="181"/>
      <c r="I248" s="181"/>
      <c r="J248" s="181"/>
      <c r="K248" s="181"/>
      <c r="L248" s="181"/>
      <c r="M248" s="10"/>
    </row>
    <row r="249" spans="1:19" x14ac:dyDescent="0.25">
      <c r="B249" s="745" t="str">
        <f>IF(Intro!$G$20="English",O249,P249)</f>
        <v>Stock de clôture</v>
      </c>
      <c r="C249" s="746"/>
      <c r="D249" s="224" t="str">
        <f>C237</f>
        <v>tonnes</v>
      </c>
      <c r="E249" s="181"/>
      <c r="F249" s="181"/>
      <c r="G249" s="181"/>
      <c r="H249" s="181"/>
      <c r="I249" s="181"/>
      <c r="J249" s="181"/>
      <c r="K249" s="181"/>
      <c r="L249" s="181"/>
      <c r="M249" s="10"/>
      <c r="O249" s="10" t="s">
        <v>195</v>
      </c>
      <c r="P249" s="10" t="s">
        <v>403</v>
      </c>
    </row>
    <row r="250" spans="1:19" x14ac:dyDescent="0.25">
      <c r="B250" s="214"/>
      <c r="C250" s="215"/>
      <c r="D250" s="215"/>
      <c r="E250" s="29"/>
      <c r="F250" s="29"/>
      <c r="G250" s="29"/>
      <c r="H250" s="29"/>
      <c r="I250" s="29"/>
      <c r="J250" s="29"/>
      <c r="K250" s="29"/>
      <c r="L250" s="30"/>
      <c r="M250" s="10"/>
    </row>
    <row r="251" spans="1:19" x14ac:dyDescent="0.25">
      <c r="B251" s="527" t="str">
        <f>IF(Intro!$G$20="English",O251,P251)</f>
        <v>Dans le tableau ci-dessous, « Erreur » signifie que la somme des importations trimestrielles déclarées ci-dessus dépasse les importations annuelles déclarées à la question 1. Par conséquent, veuillez modifier les données si nécessaire.</v>
      </c>
      <c r="C251" s="528"/>
      <c r="D251" s="528"/>
      <c r="E251" s="528"/>
      <c r="F251" s="528"/>
      <c r="G251" s="528"/>
      <c r="H251" s="528"/>
      <c r="I251" s="528"/>
      <c r="J251" s="528"/>
      <c r="K251" s="528"/>
      <c r="L251" s="529"/>
      <c r="M251" s="10"/>
      <c r="O251" s="10" t="s">
        <v>457</v>
      </c>
      <c r="P251" s="10" t="s">
        <v>458</v>
      </c>
      <c r="S251" s="38"/>
    </row>
    <row r="252" spans="1:19" x14ac:dyDescent="0.25">
      <c r="B252" s="527"/>
      <c r="C252" s="528"/>
      <c r="D252" s="528"/>
      <c r="E252" s="528"/>
      <c r="F252" s="528"/>
      <c r="G252" s="528"/>
      <c r="H252" s="528"/>
      <c r="I252" s="528"/>
      <c r="J252" s="528"/>
      <c r="K252" s="528"/>
      <c r="L252" s="529"/>
      <c r="M252" s="10"/>
      <c r="S252" s="38"/>
    </row>
    <row r="253" spans="1:19" x14ac:dyDescent="0.25">
      <c r="B253" s="211"/>
      <c r="C253" s="212"/>
      <c r="D253" s="212"/>
      <c r="E253" s="212"/>
      <c r="F253" s="212"/>
      <c r="G253" s="212"/>
      <c r="H253" s="212"/>
      <c r="I253" s="212"/>
      <c r="J253" s="212"/>
      <c r="K253" s="212"/>
      <c r="L253" s="213"/>
      <c r="M253" s="10"/>
      <c r="S253" s="38"/>
    </row>
    <row r="254" spans="1:19" x14ac:dyDescent="0.25">
      <c r="B254" s="192"/>
      <c r="C254" s="179"/>
      <c r="D254" s="194"/>
      <c r="E254" s="45"/>
      <c r="F254" s="218">
        <f>G254-1</f>
        <v>2025</v>
      </c>
      <c r="G254" s="218">
        <f>Variables!B8</f>
        <v>2026</v>
      </c>
      <c r="H254" s="193"/>
      <c r="I254" s="225"/>
      <c r="J254" s="225"/>
      <c r="K254" s="225"/>
      <c r="L254" s="160"/>
      <c r="M254" s="10"/>
      <c r="O254" s="18"/>
    </row>
    <row r="255" spans="1:19" ht="14.45" customHeight="1" x14ac:dyDescent="0.25">
      <c r="B255" s="192"/>
      <c r="C255" s="199"/>
      <c r="D255" s="781" t="str">
        <f>B221</f>
        <v>Vérification - volume</v>
      </c>
      <c r="E255" s="782"/>
      <c r="F255" s="187" t="str">
        <f>IF(SUM(H248+I248+J248+K248)&gt;I26,Variables!$D$67,Variables!$D$68)</f>
        <v>Correct</v>
      </c>
      <c r="G255" s="187" t="str">
        <f>IF(SUM(L248)&gt;K26,Variables!$D$67,Variables!$D$68)</f>
        <v>Correct</v>
      </c>
      <c r="H255" s="193"/>
      <c r="I255" s="225"/>
      <c r="J255" s="225"/>
      <c r="K255" s="225"/>
      <c r="L255" s="160"/>
      <c r="M255" s="10"/>
    </row>
    <row r="256" spans="1:19" s="44" customFormat="1" x14ac:dyDescent="0.25">
      <c r="A256" s="92"/>
      <c r="B256" s="195"/>
      <c r="C256" s="196"/>
      <c r="D256" s="197"/>
      <c r="E256" s="197"/>
      <c r="F256" s="197"/>
      <c r="G256" s="197"/>
      <c r="H256" s="197"/>
      <c r="I256" s="197"/>
      <c r="J256" s="197"/>
      <c r="K256" s="197"/>
      <c r="L256" s="198"/>
      <c r="N256" s="78"/>
    </row>
    <row r="257" spans="1:18" s="207" customFormat="1" x14ac:dyDescent="0.25">
      <c r="A257" s="7"/>
      <c r="B257" s="21" t="s">
        <v>20</v>
      </c>
      <c r="C257" s="22"/>
      <c r="D257" s="22"/>
      <c r="E257" s="23"/>
      <c r="F257" s="23"/>
      <c r="G257" s="23"/>
      <c r="H257" s="23"/>
      <c r="I257" s="23"/>
      <c r="J257" s="23"/>
      <c r="K257" s="23"/>
      <c r="L257" s="24"/>
      <c r="M257" s="73"/>
    </row>
    <row r="258" spans="1:18" s="38" customFormat="1" x14ac:dyDescent="0.25">
      <c r="A258" s="49"/>
      <c r="B258" s="53"/>
      <c r="C258" s="93"/>
      <c r="D258" s="93"/>
      <c r="E258" s="93"/>
      <c r="F258" s="93"/>
      <c r="G258" s="93"/>
      <c r="H258" s="93"/>
      <c r="I258" s="93"/>
      <c r="J258" s="93"/>
      <c r="K258" s="93"/>
      <c r="L258" s="54"/>
      <c r="O258" s="10"/>
      <c r="P258" s="10"/>
      <c r="Q258" s="10"/>
      <c r="R258" s="10"/>
    </row>
    <row r="259" spans="1:18" s="38" customFormat="1" x14ac:dyDescent="0.25">
      <c r="A259" s="49"/>
      <c r="B259" s="527" t="str">
        <f>IF(Intro!$G$20="English",O259,P259)</f>
        <v>Décrivez tous les facteurs (par exemple, les retards d’expédition, la saisonnalité, etc.) qui pourraient expliquer la tendance générale des volumes d’importation trimestriels et des stocks finals de votre entreprise, comme indiqué dans la question 6.</v>
      </c>
      <c r="C259" s="528"/>
      <c r="D259" s="528"/>
      <c r="E259" s="528"/>
      <c r="F259" s="528"/>
      <c r="G259" s="528"/>
      <c r="H259" s="528"/>
      <c r="I259" s="528"/>
      <c r="J259" s="528"/>
      <c r="K259" s="528"/>
      <c r="L259" s="529"/>
      <c r="O259" s="10" t="s">
        <v>375</v>
      </c>
      <c r="P259" s="10" t="s">
        <v>376</v>
      </c>
      <c r="Q259" s="10"/>
      <c r="R259" s="10"/>
    </row>
    <row r="260" spans="1:18" s="38" customFormat="1" x14ac:dyDescent="0.25">
      <c r="A260" s="49"/>
      <c r="B260" s="527"/>
      <c r="C260" s="528"/>
      <c r="D260" s="528"/>
      <c r="E260" s="528"/>
      <c r="F260" s="528"/>
      <c r="G260" s="528"/>
      <c r="H260" s="528"/>
      <c r="I260" s="528"/>
      <c r="J260" s="528"/>
      <c r="K260" s="528"/>
      <c r="L260" s="529"/>
      <c r="O260" s="10"/>
      <c r="P260" s="10"/>
      <c r="Q260" s="10"/>
      <c r="R260" s="10"/>
    </row>
    <row r="261" spans="1:18" s="38" customFormat="1" x14ac:dyDescent="0.25">
      <c r="A261" s="49"/>
      <c r="B261" s="53"/>
      <c r="C261" s="93"/>
      <c r="D261" s="93"/>
      <c r="E261" s="93"/>
      <c r="F261" s="93"/>
      <c r="G261" s="93"/>
      <c r="H261" s="93"/>
      <c r="I261" s="93"/>
      <c r="J261" s="93"/>
      <c r="K261" s="93"/>
      <c r="L261" s="54"/>
      <c r="O261" s="10"/>
      <c r="P261" s="10"/>
      <c r="Q261" s="10"/>
      <c r="R261" s="10"/>
    </row>
    <row r="262" spans="1:18" s="207" customFormat="1" x14ac:dyDescent="0.25">
      <c r="A262" s="8"/>
      <c r="B262" s="663"/>
      <c r="C262" s="664"/>
      <c r="D262" s="664"/>
      <c r="E262" s="664"/>
      <c r="F262" s="664"/>
      <c r="G262" s="664"/>
      <c r="H262" s="664"/>
      <c r="I262" s="664"/>
      <c r="J262" s="664"/>
      <c r="K262" s="664"/>
      <c r="L262" s="665"/>
      <c r="M262" s="38"/>
    </row>
    <row r="263" spans="1:18" s="207" customFormat="1" x14ac:dyDescent="0.25">
      <c r="A263" s="8"/>
      <c r="B263" s="663"/>
      <c r="C263" s="664"/>
      <c r="D263" s="664"/>
      <c r="E263" s="664"/>
      <c r="F263" s="664"/>
      <c r="G263" s="664"/>
      <c r="H263" s="664"/>
      <c r="I263" s="664"/>
      <c r="J263" s="664"/>
      <c r="K263" s="664"/>
      <c r="L263" s="665"/>
      <c r="M263" s="38"/>
    </row>
    <row r="264" spans="1:18" s="207" customFormat="1" x14ac:dyDescent="0.25">
      <c r="A264" s="8"/>
      <c r="B264" s="663"/>
      <c r="C264" s="664"/>
      <c r="D264" s="664"/>
      <c r="E264" s="664"/>
      <c r="F264" s="664"/>
      <c r="G264" s="664"/>
      <c r="H264" s="664"/>
      <c r="I264" s="664"/>
      <c r="J264" s="664"/>
      <c r="K264" s="664"/>
      <c r="L264" s="665"/>
      <c r="M264" s="38"/>
    </row>
    <row r="265" spans="1:18" s="207" customFormat="1" x14ac:dyDescent="0.25">
      <c r="A265" s="8"/>
      <c r="B265" s="663"/>
      <c r="C265" s="664"/>
      <c r="D265" s="664"/>
      <c r="E265" s="664"/>
      <c r="F265" s="664"/>
      <c r="G265" s="664"/>
      <c r="H265" s="664"/>
      <c r="I265" s="664"/>
      <c r="J265" s="664"/>
      <c r="K265" s="664"/>
      <c r="L265" s="665"/>
      <c r="M265" s="38"/>
    </row>
    <row r="266" spans="1:18" s="207" customFormat="1" x14ac:dyDescent="0.25">
      <c r="A266" s="8"/>
      <c r="B266" s="663"/>
      <c r="C266" s="664"/>
      <c r="D266" s="664"/>
      <c r="E266" s="664"/>
      <c r="F266" s="664"/>
      <c r="G266" s="664"/>
      <c r="H266" s="664"/>
      <c r="I266" s="664"/>
      <c r="J266" s="664"/>
      <c r="K266" s="664"/>
      <c r="L266" s="665"/>
      <c r="M266" s="38"/>
    </row>
    <row r="267" spans="1:18" s="207" customFormat="1" x14ac:dyDescent="0.25">
      <c r="A267" s="8"/>
      <c r="B267" s="663"/>
      <c r="C267" s="664"/>
      <c r="D267" s="664"/>
      <c r="E267" s="664"/>
      <c r="F267" s="664"/>
      <c r="G267" s="664"/>
      <c r="H267" s="664"/>
      <c r="I267" s="664"/>
      <c r="J267" s="664"/>
      <c r="K267" s="664"/>
      <c r="L267" s="665"/>
      <c r="M267" s="38"/>
    </row>
    <row r="268" spans="1:18" s="207" customFormat="1" x14ac:dyDescent="0.25">
      <c r="A268" s="8"/>
      <c r="B268" s="663"/>
      <c r="C268" s="664"/>
      <c r="D268" s="664"/>
      <c r="E268" s="664"/>
      <c r="F268" s="664"/>
      <c r="G268" s="664"/>
      <c r="H268" s="664"/>
      <c r="I268" s="664"/>
      <c r="J268" s="664"/>
      <c r="K268" s="664"/>
      <c r="L268" s="665"/>
      <c r="M268" s="38"/>
    </row>
    <row r="269" spans="1:18" s="207" customFormat="1" x14ac:dyDescent="0.25">
      <c r="A269" s="8"/>
      <c r="B269" s="663"/>
      <c r="C269" s="664"/>
      <c r="D269" s="664"/>
      <c r="E269" s="664"/>
      <c r="F269" s="664"/>
      <c r="G269" s="664"/>
      <c r="H269" s="664"/>
      <c r="I269" s="664"/>
      <c r="J269" s="664"/>
      <c r="K269" s="664"/>
      <c r="L269" s="665"/>
      <c r="M269" s="38"/>
    </row>
    <row r="270" spans="1:18" s="38" customFormat="1" x14ac:dyDescent="0.25">
      <c r="A270" s="49"/>
      <c r="B270" s="50"/>
      <c r="C270" s="51"/>
      <c r="D270" s="51"/>
      <c r="E270" s="51"/>
      <c r="F270" s="51"/>
      <c r="G270" s="51"/>
      <c r="H270" s="51"/>
      <c r="I270" s="51"/>
      <c r="J270" s="51"/>
      <c r="K270" s="51"/>
      <c r="L270" s="52"/>
      <c r="O270" s="10"/>
      <c r="P270" s="10"/>
      <c r="Q270" s="10"/>
      <c r="R270" s="10"/>
    </row>
  </sheetData>
  <sheetProtection algorithmName="SHA-512" hashValue="IzrmySpTrtxc+I6DbKh5bLyr32vgy/BOVCn9sZEY87MgVwGf5p+p0LhOKKmUzGb6zc+GKKxqO4OhUOuAdV/LOA==" saltValue="dQ8kNXjb7QyYOVGNj7lSwA==" spinCount="100000" sheet="1" objects="1" scenarios="1" selectLockedCells="1"/>
  <mergeCells count="204">
    <mergeCell ref="B214:D214"/>
    <mergeCell ref="B215:D215"/>
    <mergeCell ref="B216:D216"/>
    <mergeCell ref="B202:L203"/>
    <mergeCell ref="B204:D204"/>
    <mergeCell ref="B205:D205"/>
    <mergeCell ref="B206:D206"/>
    <mergeCell ref="B207:L208"/>
    <mergeCell ref="B209:D209"/>
    <mergeCell ref="B210:D210"/>
    <mergeCell ref="B211:D211"/>
    <mergeCell ref="B212:L213"/>
    <mergeCell ref="D255:E255"/>
    <mergeCell ref="B259:L260"/>
    <mergeCell ref="B262:L269"/>
    <mergeCell ref="B242:L242"/>
    <mergeCell ref="B243:L243"/>
    <mergeCell ref="B245:L245"/>
    <mergeCell ref="B248:C248"/>
    <mergeCell ref="B249:C249"/>
    <mergeCell ref="B251:L252"/>
    <mergeCell ref="B232:L232"/>
    <mergeCell ref="B234:L234"/>
    <mergeCell ref="F236:G236"/>
    <mergeCell ref="B237:B239"/>
    <mergeCell ref="C237:E237"/>
    <mergeCell ref="F237:G237"/>
    <mergeCell ref="C238:E238"/>
    <mergeCell ref="F238:G238"/>
    <mergeCell ref="C239:E239"/>
    <mergeCell ref="F239:G239"/>
    <mergeCell ref="B224:F224"/>
    <mergeCell ref="B225:F225"/>
    <mergeCell ref="B226:F226"/>
    <mergeCell ref="B227:F227"/>
    <mergeCell ref="B228:F228"/>
    <mergeCell ref="B231:L231"/>
    <mergeCell ref="B218:L219"/>
    <mergeCell ref="B221:F221"/>
    <mergeCell ref="B222:F222"/>
    <mergeCell ref="B223:F223"/>
    <mergeCell ref="B197:L198"/>
    <mergeCell ref="B199:D199"/>
    <mergeCell ref="B200:D200"/>
    <mergeCell ref="B201:D201"/>
    <mergeCell ref="B190:D190"/>
    <mergeCell ref="B191:D191"/>
    <mergeCell ref="B192:L193"/>
    <mergeCell ref="B194:D194"/>
    <mergeCell ref="B195:D195"/>
    <mergeCell ref="B196:D196"/>
    <mergeCell ref="B182:L183"/>
    <mergeCell ref="B184:D184"/>
    <mergeCell ref="B185:D185"/>
    <mergeCell ref="B186:D186"/>
    <mergeCell ref="B187:L188"/>
    <mergeCell ref="B189:D189"/>
    <mergeCell ref="B175:D175"/>
    <mergeCell ref="B176:D176"/>
    <mergeCell ref="B177:L178"/>
    <mergeCell ref="B179:D179"/>
    <mergeCell ref="B180:D180"/>
    <mergeCell ref="B181:D181"/>
    <mergeCell ref="B167:L168"/>
    <mergeCell ref="B169:D169"/>
    <mergeCell ref="B170:D170"/>
    <mergeCell ref="B171:D171"/>
    <mergeCell ref="B172:L173"/>
    <mergeCell ref="B174:D174"/>
    <mergeCell ref="B157:F157"/>
    <mergeCell ref="B160:L160"/>
    <mergeCell ref="B161:L161"/>
    <mergeCell ref="B163:L163"/>
    <mergeCell ref="B164:L164"/>
    <mergeCell ref="B166:D166"/>
    <mergeCell ref="B151:F151"/>
    <mergeCell ref="B152:F152"/>
    <mergeCell ref="B153:F153"/>
    <mergeCell ref="B154:F154"/>
    <mergeCell ref="B155:F155"/>
    <mergeCell ref="B156:F156"/>
    <mergeCell ref="B131:L132"/>
    <mergeCell ref="B133:D133"/>
    <mergeCell ref="B134:D134"/>
    <mergeCell ref="B135:D135"/>
    <mergeCell ref="B147:L148"/>
    <mergeCell ref="B150:F150"/>
    <mergeCell ref="B136:L137"/>
    <mergeCell ref="B138:D138"/>
    <mergeCell ref="B139:D139"/>
    <mergeCell ref="B140:D140"/>
    <mergeCell ref="B141:L142"/>
    <mergeCell ref="B143:D143"/>
    <mergeCell ref="B144:D144"/>
    <mergeCell ref="B145:D145"/>
    <mergeCell ref="B124:D124"/>
    <mergeCell ref="B125:D125"/>
    <mergeCell ref="B126:L127"/>
    <mergeCell ref="B128:D128"/>
    <mergeCell ref="B129:D129"/>
    <mergeCell ref="B130:D130"/>
    <mergeCell ref="B116:L117"/>
    <mergeCell ref="B118:D118"/>
    <mergeCell ref="B119:D119"/>
    <mergeCell ref="B120:D120"/>
    <mergeCell ref="B121:L122"/>
    <mergeCell ref="B123:D123"/>
    <mergeCell ref="B109:D109"/>
    <mergeCell ref="B110:D110"/>
    <mergeCell ref="B111:L112"/>
    <mergeCell ref="B113:D113"/>
    <mergeCell ref="B114:D114"/>
    <mergeCell ref="B115:D115"/>
    <mergeCell ref="B101:L102"/>
    <mergeCell ref="B103:D103"/>
    <mergeCell ref="B104:D104"/>
    <mergeCell ref="B105:D105"/>
    <mergeCell ref="B106:L107"/>
    <mergeCell ref="B108:D108"/>
    <mergeCell ref="B93:L93"/>
    <mergeCell ref="B95:D95"/>
    <mergeCell ref="B96:L97"/>
    <mergeCell ref="B98:D98"/>
    <mergeCell ref="B99:D99"/>
    <mergeCell ref="B100:D100"/>
    <mergeCell ref="B84:F84"/>
    <mergeCell ref="B85:F85"/>
    <mergeCell ref="B86:F86"/>
    <mergeCell ref="B87:F87"/>
    <mergeCell ref="B90:L90"/>
    <mergeCell ref="B91:L91"/>
    <mergeCell ref="B75:D75"/>
    <mergeCell ref="B77:L78"/>
    <mergeCell ref="B80:F80"/>
    <mergeCell ref="B81:F81"/>
    <mergeCell ref="B82:F82"/>
    <mergeCell ref="B83:F83"/>
    <mergeCell ref="B69:D69"/>
    <mergeCell ref="B70:D70"/>
    <mergeCell ref="B71:D71"/>
    <mergeCell ref="B72:L72"/>
    <mergeCell ref="B73:D73"/>
    <mergeCell ref="B74:D74"/>
    <mergeCell ref="B63:D63"/>
    <mergeCell ref="B64:L64"/>
    <mergeCell ref="B65:D65"/>
    <mergeCell ref="B66:D66"/>
    <mergeCell ref="B67:D67"/>
    <mergeCell ref="B68:L68"/>
    <mergeCell ref="B57:D57"/>
    <mergeCell ref="B58:D58"/>
    <mergeCell ref="B59:D59"/>
    <mergeCell ref="B60:L60"/>
    <mergeCell ref="B61:D61"/>
    <mergeCell ref="B62:D62"/>
    <mergeCell ref="B49:L49"/>
    <mergeCell ref="B50:L50"/>
    <mergeCell ref="B52:L52"/>
    <mergeCell ref="B53:L53"/>
    <mergeCell ref="B55:D55"/>
    <mergeCell ref="B56:L56"/>
    <mergeCell ref="B41:C43"/>
    <mergeCell ref="D41:F41"/>
    <mergeCell ref="D42:F42"/>
    <mergeCell ref="D43:F43"/>
    <mergeCell ref="B44:C46"/>
    <mergeCell ref="D44:F44"/>
    <mergeCell ref="D45:F45"/>
    <mergeCell ref="D46:F46"/>
    <mergeCell ref="B37:K37"/>
    <mergeCell ref="B38:C40"/>
    <mergeCell ref="D38:F38"/>
    <mergeCell ref="D39:F39"/>
    <mergeCell ref="D40:F40"/>
    <mergeCell ref="B30:K30"/>
    <mergeCell ref="B31:C33"/>
    <mergeCell ref="D31:F31"/>
    <mergeCell ref="D32:F32"/>
    <mergeCell ref="D33:F33"/>
    <mergeCell ref="B34:C36"/>
    <mergeCell ref="D34:F34"/>
    <mergeCell ref="D35:F35"/>
    <mergeCell ref="D36:F36"/>
    <mergeCell ref="B25:K25"/>
    <mergeCell ref="B26:C28"/>
    <mergeCell ref="D26:F26"/>
    <mergeCell ref="D27:F27"/>
    <mergeCell ref="D28:F28"/>
    <mergeCell ref="B29:K29"/>
    <mergeCell ref="B19:L19"/>
    <mergeCell ref="B20:L20"/>
    <mergeCell ref="B22:F22"/>
    <mergeCell ref="G22:K22"/>
    <mergeCell ref="B10:L10"/>
    <mergeCell ref="B12:L12"/>
    <mergeCell ref="B13:L13"/>
    <mergeCell ref="B14:L14"/>
    <mergeCell ref="B15:L15"/>
    <mergeCell ref="B16:L16"/>
    <mergeCell ref="B4:L4"/>
    <mergeCell ref="B5:L5"/>
    <mergeCell ref="B6:L6"/>
    <mergeCell ref="B8:L8"/>
    <mergeCell ref="B9:L9"/>
  </mergeCells>
  <conditionalFormatting sqref="F255:G255">
    <cfRule type="cellIs" dxfId="32" priority="5" operator="equal">
      <formula>"Error"</formula>
    </cfRule>
  </conditionalFormatting>
  <conditionalFormatting sqref="G81:J83 G85:J87">
    <cfRule type="cellIs" dxfId="31" priority="16" operator="equal">
      <formula>"Error"</formula>
    </cfRule>
  </conditionalFormatting>
  <conditionalFormatting sqref="G151:J153">
    <cfRule type="cellIs" dxfId="30" priority="4" operator="equal">
      <formula>"Error"</formula>
    </cfRule>
  </conditionalFormatting>
  <conditionalFormatting sqref="G155:J157">
    <cfRule type="cellIs" dxfId="29" priority="3" operator="equal">
      <formula>"Error"</formula>
    </cfRule>
  </conditionalFormatting>
  <conditionalFormatting sqref="G222:J224">
    <cfRule type="cellIs" dxfId="28" priority="2" operator="equal">
      <formula>"Error"</formula>
    </cfRule>
  </conditionalFormatting>
  <conditionalFormatting sqref="G226:J228">
    <cfRule type="cellIs" dxfId="27" priority="1" operator="equal">
      <formula>"Error"</formula>
    </cfRule>
  </conditionalFormatting>
  <dataValidations count="4">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21:L122 E248:L249 F237:G238 E199:L200 E194:L195 E189:L190 E184:L185 E179:L180 E174:L175 E169:L170 E133:L134 E128:L129 E123:L124 E118:L119 E113:L114 E108:L109 E103:L104 E98:L99 E73:L74 E69:L70 E65:L66 E61:L62 E57:L58 G34:K35 G31:K32 G26:K27 G41:K42 G38:K39 E143:L144 E138:L139 E214:L215 E209:L210 E204:L205" xr:uid="{5767FA54-9C3C-4A3C-B6C2-FFC0D1219010}">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60 F239 E67:L67 E71:L71 E201:L201 E130:L130 E135:L135 E63:L63 E59:L59 E75:L75 E100:L100 E105:L105 E110:L110 E115:L115 E120:L120 E125:L125 G43:K46 E171:L171 E176:L176 E181:L181 E186:L186 E191:L191 E196:L196 E211:L211 G28:K28 E145:L145 G151:J153 G81:J83 G85:J87 G222:J224 G33:K33 G36:K36 G40:K40 F255:G255 E140:L140 G155:J157 E216:L216 E206:L206 G226:J228" xr:uid="{D0E6A760-1712-441F-9CC6-E33E8900633D}">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62:B264" xr:uid="{EDF59CBD-DB6D-49A7-B3A1-6A7D19BAEC91}">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E35BB3E-DE9E-43B0-9CBC-B30A5D4D9086}">
      <formula1>1000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47" min="1" max="11" man="1"/>
    <brk id="88" min="1" max="11" man="1"/>
    <brk id="158" min="1" max="11" man="1"/>
    <brk id="229" min="1" max="1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3BD6-04E2-444F-856F-021CDB17E779}">
  <sheetPr>
    <tabColor rgb="FF92D050"/>
    <pageSetUpPr fitToPage="1"/>
  </sheetPr>
  <dimension ref="A1:S268"/>
  <sheetViews>
    <sheetView showGridLines="0" zoomScaleNormal="100" zoomScaleSheetLayoutView="55" workbookViewId="0">
      <selection activeCell="S12" sqref="S12"/>
    </sheetView>
  </sheetViews>
  <sheetFormatPr defaultColWidth="9.140625" defaultRowHeight="14.25" x14ac:dyDescent="0.25"/>
  <cols>
    <col min="1" max="1" width="1.85546875" style="7" customWidth="1"/>
    <col min="2" max="12" width="14.5703125" style="1" customWidth="1"/>
    <col min="13" max="13" width="6.140625" style="9" customWidth="1"/>
    <col min="14" max="14" width="9.140625" style="10" customWidth="1"/>
    <col min="15" max="15" width="10.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Pro!B2</f>
        <v>PROTÉGÉ</v>
      </c>
      <c r="C2" s="12"/>
      <c r="D2" s="12"/>
      <c r="O2" s="207" t="s">
        <v>93</v>
      </c>
      <c r="P2" s="207" t="s">
        <v>109</v>
      </c>
    </row>
    <row r="3" spans="1:16" x14ac:dyDescent="0.25">
      <c r="B3" s="13"/>
      <c r="C3" s="13"/>
      <c r="D3" s="13"/>
      <c r="O3" s="2"/>
      <c r="P3" s="2"/>
    </row>
    <row r="4" spans="1:16" s="2" customFormat="1" x14ac:dyDescent="0.25">
      <c r="A4" s="33"/>
      <c r="B4" s="615" t="str">
        <f>Info!B4</f>
        <v>QUESTIONNAIRE À L'INTENTION DES IMPORTATEURS</v>
      </c>
      <c r="C4" s="616"/>
      <c r="D4" s="616"/>
      <c r="E4" s="616"/>
      <c r="F4" s="616"/>
      <c r="G4" s="616"/>
      <c r="H4" s="616"/>
      <c r="I4" s="616"/>
      <c r="J4" s="616"/>
      <c r="K4" s="616"/>
      <c r="L4" s="617"/>
      <c r="M4" s="25"/>
      <c r="N4" s="25"/>
      <c r="O4" s="19"/>
      <c r="P4" s="19"/>
    </row>
    <row r="5" spans="1:16" s="2" customFormat="1" x14ac:dyDescent="0.25">
      <c r="A5" s="33"/>
      <c r="B5" s="651" t="str">
        <f>Info!B5</f>
        <v>NQ-2026-001</v>
      </c>
      <c r="C5" s="652"/>
      <c r="D5" s="652"/>
      <c r="E5" s="652"/>
      <c r="F5" s="652"/>
      <c r="G5" s="652"/>
      <c r="H5" s="652"/>
      <c r="I5" s="652"/>
      <c r="J5" s="652"/>
      <c r="K5" s="652"/>
      <c r="L5" s="653"/>
      <c r="M5" s="25"/>
      <c r="N5" s="25"/>
      <c r="O5" s="19"/>
      <c r="P5" s="19"/>
    </row>
    <row r="6" spans="1:16" s="6" customFormat="1" x14ac:dyDescent="0.25">
      <c r="A6" s="33"/>
      <c r="B6" s="651" t="str">
        <f>Info!B6</f>
        <v>TUBAGES DE PUITS DE GAZ ET DE PÉTROLE</v>
      </c>
      <c r="C6" s="652"/>
      <c r="D6" s="652"/>
      <c r="E6" s="652"/>
      <c r="F6" s="652"/>
      <c r="G6" s="652"/>
      <c r="H6" s="652"/>
      <c r="I6" s="652"/>
      <c r="J6" s="652"/>
      <c r="K6" s="652"/>
      <c r="L6" s="653"/>
      <c r="M6" s="19"/>
      <c r="N6" s="19"/>
      <c r="O6" s="15"/>
      <c r="P6" s="15"/>
    </row>
    <row r="7" spans="1:16" s="6" customFormat="1" x14ac:dyDescent="0.25">
      <c r="A7" s="33"/>
      <c r="B7" s="154"/>
      <c r="C7" s="155"/>
      <c r="D7" s="155"/>
      <c r="E7" s="155"/>
      <c r="F7" s="155"/>
      <c r="G7" s="155"/>
      <c r="H7" s="155"/>
      <c r="I7" s="155"/>
      <c r="J7" s="155"/>
      <c r="K7" s="155"/>
      <c r="L7" s="156"/>
      <c r="M7" s="19"/>
      <c r="N7" s="19"/>
      <c r="O7" s="20"/>
    </row>
    <row r="8" spans="1:16" s="6" customFormat="1" x14ac:dyDescent="0.25">
      <c r="A8" s="33"/>
      <c r="B8" s="657" t="str">
        <f>Public!B8</f>
        <v>Les marchandises dans les questions suivantes font référence aux marchandises comme définies dans la description du produit de l'onglet Intro.</v>
      </c>
      <c r="C8" s="658"/>
      <c r="D8" s="658"/>
      <c r="E8" s="658"/>
      <c r="F8" s="658"/>
      <c r="G8" s="658"/>
      <c r="H8" s="658"/>
      <c r="I8" s="658"/>
      <c r="J8" s="658"/>
      <c r="K8" s="658"/>
      <c r="L8" s="659"/>
      <c r="M8" s="19"/>
      <c r="N8" s="19"/>
      <c r="O8" s="15"/>
      <c r="P8" s="15"/>
    </row>
    <row r="9" spans="1:16" s="6" customFormat="1" x14ac:dyDescent="0.25">
      <c r="A9" s="33"/>
      <c r="B9" s="657" t="str">
        <f>Public!B9</f>
        <v>Des informations sur le produit et un glossaire de termes sont disponibles dans l'onglet Info.</v>
      </c>
      <c r="C9" s="658"/>
      <c r="D9" s="658"/>
      <c r="E9" s="658"/>
      <c r="F9" s="658"/>
      <c r="G9" s="658"/>
      <c r="H9" s="658"/>
      <c r="I9" s="658"/>
      <c r="J9" s="658"/>
      <c r="K9" s="658"/>
      <c r="L9" s="659"/>
      <c r="M9" s="19"/>
      <c r="N9" s="19"/>
      <c r="O9" s="15"/>
    </row>
    <row r="10" spans="1:16" s="6" customFormat="1" x14ac:dyDescent="0.25">
      <c r="A10" s="33"/>
      <c r="B10" s="657" t="str">
        <f>Pro!B12</f>
        <v>Pour les questions de cet onglet, notez ce qui suit :</v>
      </c>
      <c r="C10" s="658"/>
      <c r="D10" s="658"/>
      <c r="E10" s="658"/>
      <c r="F10" s="658"/>
      <c r="G10" s="658"/>
      <c r="H10" s="658"/>
      <c r="I10" s="658"/>
      <c r="J10" s="658"/>
      <c r="K10" s="658"/>
      <c r="L10" s="659"/>
      <c r="M10" s="19"/>
      <c r="N10" s="19"/>
      <c r="O10" s="15"/>
      <c r="P10" s="15"/>
    </row>
    <row r="11" spans="1:16" s="6" customFormat="1" ht="9.75" customHeight="1" x14ac:dyDescent="0.25">
      <c r="A11" s="33"/>
      <c r="B11" s="262"/>
      <c r="C11" s="263"/>
      <c r="D11" s="263"/>
      <c r="E11" s="263"/>
      <c r="F11" s="263"/>
      <c r="G11" s="263"/>
      <c r="H11" s="263"/>
      <c r="I11" s="263"/>
      <c r="J11" s="263"/>
      <c r="K11" s="263"/>
      <c r="L11" s="264"/>
      <c r="M11" s="19"/>
      <c r="N11" s="19"/>
      <c r="O11" s="15"/>
      <c r="P11" s="15"/>
    </row>
    <row r="12" spans="1:16" s="6" customFormat="1" ht="28.5" customHeight="1" x14ac:dyDescent="0.25">
      <c r="A12" s="33"/>
      <c r="B12" s="721" t="str">
        <f>Pro!B13</f>
        <v xml:space="preserve">• Veuillez indiquer seulement les ventes effectuées à partir des importations de votre entreprise. Les ventes de marchandises achetées auprès de producteurs canadiens doivent être exclues. </v>
      </c>
      <c r="C12" s="722"/>
      <c r="D12" s="722"/>
      <c r="E12" s="722"/>
      <c r="F12" s="722"/>
      <c r="G12" s="722"/>
      <c r="H12" s="722"/>
      <c r="I12" s="722"/>
      <c r="J12" s="722"/>
      <c r="K12" s="722"/>
      <c r="L12" s="723"/>
      <c r="M12" s="19"/>
      <c r="N12" s="19"/>
      <c r="O12" s="15"/>
      <c r="P12" s="15"/>
    </row>
    <row r="13" spans="1:16" s="6" customFormat="1" x14ac:dyDescent="0.25">
      <c r="A13" s="33"/>
      <c r="B13" s="657" t="str">
        <f>Pro!B14</f>
        <v>• Déclarez toutes les ventes aux entreprises associées canadiennes et étrangères.</v>
      </c>
      <c r="C13" s="658"/>
      <c r="D13" s="658"/>
      <c r="E13" s="658"/>
      <c r="F13" s="658"/>
      <c r="G13" s="658"/>
      <c r="H13" s="658"/>
      <c r="I13" s="658"/>
      <c r="J13" s="658"/>
      <c r="K13" s="658"/>
      <c r="L13" s="659"/>
      <c r="M13" s="19"/>
      <c r="N13" s="19"/>
      <c r="O13" s="15"/>
      <c r="P13" s="15"/>
    </row>
    <row r="14" spans="1:16" s="6" customFormat="1" x14ac:dyDescent="0.25">
      <c r="A14" s="33"/>
      <c r="B14" s="657" t="str">
        <f>Pro!B15</f>
        <v>• Déclarez toutes les ventes à compter de la date de l’expédition au client ou à son entrepôt.</v>
      </c>
      <c r="C14" s="658"/>
      <c r="D14" s="658"/>
      <c r="E14" s="658"/>
      <c r="F14" s="658"/>
      <c r="G14" s="658"/>
      <c r="H14" s="658"/>
      <c r="I14" s="658"/>
      <c r="J14" s="658"/>
      <c r="K14" s="658"/>
      <c r="L14" s="659"/>
      <c r="M14" s="19"/>
      <c r="N14" s="19"/>
      <c r="O14" s="15"/>
      <c r="P14" s="15"/>
    </row>
    <row r="15" spans="1:16" s="6" customFormat="1" x14ac:dyDescent="0.25">
      <c r="A15" s="33"/>
      <c r="B15" s="657" t="str">
        <f>Pro!B16</f>
        <v>• Déclarez toutes les valeurs en dollars canadiens.</v>
      </c>
      <c r="C15" s="658"/>
      <c r="D15" s="658"/>
      <c r="E15" s="658"/>
      <c r="F15" s="658"/>
      <c r="G15" s="658"/>
      <c r="H15" s="658"/>
      <c r="I15" s="658"/>
      <c r="J15" s="658"/>
      <c r="K15" s="658"/>
      <c r="L15" s="659"/>
      <c r="M15" s="19"/>
      <c r="N15" s="19"/>
      <c r="O15" s="15"/>
      <c r="P15" s="15"/>
    </row>
    <row r="16" spans="1:16" s="6" customFormat="1" x14ac:dyDescent="0.25">
      <c r="A16" s="33"/>
      <c r="B16" s="660" t="str">
        <f>IF(Intro!$G$20="English",O16,P16)</f>
        <v>• Si votre entreprise est un utilisateur final ou un détaillant, elle n’a pas besoin de déclarer ses ventes d’importations ou ses stocks d’importations.</v>
      </c>
      <c r="C16" s="661"/>
      <c r="D16" s="661"/>
      <c r="E16" s="661"/>
      <c r="F16" s="661"/>
      <c r="G16" s="661"/>
      <c r="H16" s="661"/>
      <c r="I16" s="661"/>
      <c r="J16" s="661"/>
      <c r="K16" s="661"/>
      <c r="L16" s="662"/>
      <c r="M16" s="19"/>
      <c r="N16" s="19"/>
      <c r="O16" s="15" t="s">
        <v>263</v>
      </c>
      <c r="P16" s="15" t="s">
        <v>264</v>
      </c>
    </row>
    <row r="17" spans="1:16" s="6" customFormat="1" x14ac:dyDescent="0.25">
      <c r="A17" s="33"/>
      <c r="B17" s="14"/>
      <c r="C17" s="14"/>
      <c r="D17" s="14"/>
      <c r="E17" s="3"/>
      <c r="F17" s="3"/>
      <c r="G17" s="3"/>
      <c r="H17" s="3"/>
      <c r="I17" s="3"/>
      <c r="J17" s="3"/>
      <c r="K17" s="3"/>
      <c r="L17" s="3"/>
      <c r="O17" s="15"/>
      <c r="P17" s="15"/>
    </row>
    <row r="18" spans="1:16" x14ac:dyDescent="0.25">
      <c r="B18" s="533" t="str">
        <f>IF(Intro!$G$20="English",O18,P18)</f>
        <v>IMPORTATIONS ET VENTES</v>
      </c>
      <c r="C18" s="534"/>
      <c r="D18" s="534"/>
      <c r="E18" s="534"/>
      <c r="F18" s="534"/>
      <c r="G18" s="534"/>
      <c r="H18" s="534"/>
      <c r="I18" s="534"/>
      <c r="J18" s="534"/>
      <c r="K18" s="534"/>
      <c r="L18" s="535"/>
      <c r="M18" s="10"/>
      <c r="O18" s="105" t="s">
        <v>333</v>
      </c>
      <c r="P18" s="105" t="s">
        <v>334</v>
      </c>
    </row>
    <row r="19" spans="1:16" x14ac:dyDescent="0.25">
      <c r="B19" s="671" t="s">
        <v>12</v>
      </c>
      <c r="C19" s="672"/>
      <c r="D19" s="672"/>
      <c r="E19" s="672"/>
      <c r="F19" s="672"/>
      <c r="G19" s="672"/>
      <c r="H19" s="672"/>
      <c r="I19" s="672"/>
      <c r="J19" s="672"/>
      <c r="K19" s="672"/>
      <c r="L19" s="673"/>
      <c r="M19" s="10"/>
    </row>
    <row r="20" spans="1:16" x14ac:dyDescent="0.25">
      <c r="B20" s="16"/>
      <c r="C20" s="35"/>
      <c r="D20" s="35"/>
      <c r="E20" s="36"/>
      <c r="F20" s="36"/>
      <c r="G20" s="36"/>
      <c r="H20" s="36"/>
      <c r="I20" s="36"/>
      <c r="J20" s="36"/>
      <c r="K20" s="36"/>
      <c r="L20" s="17"/>
      <c r="M20" s="10"/>
    </row>
    <row r="21" spans="1:16" ht="60.75" customHeight="1" x14ac:dyDescent="0.25">
      <c r="B21" s="713" t="str">
        <f>IF(Intro!$G$20="English",O21,P21)</f>
        <v xml:space="preserve">Indiquez les importations et les ventes de marchandises de votre entreprise de : </v>
      </c>
      <c r="C21" s="715"/>
      <c r="D21" s="715"/>
      <c r="E21" s="715"/>
      <c r="F21" s="715"/>
      <c r="G21" s="792" t="str">
        <f>IF(Intro!$G$20="English",Variables!B51,Variables!C51)</f>
        <v>Autres pays (incluant les marchandises exportées de la Corée du Sud par Hyundai Steel Company, et les marchandises exportées de Turquie par Borusan Mannesmann Boru Sanayi ve Ticaret A.Ş.)</v>
      </c>
      <c r="H21" s="793"/>
      <c r="I21" s="793"/>
      <c r="J21" s="793"/>
      <c r="K21" s="794"/>
      <c r="L21" s="216"/>
      <c r="M21" s="10"/>
      <c r="O21" s="10" t="s">
        <v>283</v>
      </c>
      <c r="P21" s="10" t="s">
        <v>284</v>
      </c>
    </row>
    <row r="22" spans="1:16" ht="30" customHeight="1" x14ac:dyDescent="0.25">
      <c r="B22" s="795" t="str">
        <f>IF(Intro!$G$20="English",O22,P22)</f>
        <v xml:space="preserve">Autres pays incluent : </v>
      </c>
      <c r="C22" s="796"/>
      <c r="D22" s="796"/>
      <c r="E22" s="796"/>
      <c r="F22" s="797"/>
      <c r="G22" s="798"/>
      <c r="H22" s="799"/>
      <c r="I22" s="799"/>
      <c r="J22" s="799"/>
      <c r="K22" s="800"/>
      <c r="L22" s="243"/>
      <c r="M22" s="10"/>
      <c r="O22" s="10" t="s">
        <v>515</v>
      </c>
      <c r="P22" s="10" t="s">
        <v>516</v>
      </c>
    </row>
    <row r="23" spans="1:16" x14ac:dyDescent="0.25">
      <c r="B23" s="131"/>
      <c r="C23" s="132"/>
      <c r="D23" s="132"/>
      <c r="E23" s="132"/>
      <c r="F23" s="132"/>
      <c r="G23" s="36"/>
      <c r="H23" s="36"/>
      <c r="I23" s="36"/>
      <c r="J23" s="36"/>
      <c r="K23" s="36"/>
      <c r="L23" s="17"/>
      <c r="M23" s="10"/>
    </row>
    <row r="24" spans="1:16" x14ac:dyDescent="0.25">
      <c r="B24" s="131"/>
      <c r="C24" s="132"/>
      <c r="D24" s="132"/>
      <c r="E24" s="132"/>
      <c r="F24" s="132"/>
      <c r="G24" s="220">
        <f>Variables!$B$6</f>
        <v>2023</v>
      </c>
      <c r="H24" s="220">
        <f>G24+1</f>
        <v>2024</v>
      </c>
      <c r="I24" s="220">
        <f>H24+1</f>
        <v>2025</v>
      </c>
      <c r="J24" s="220" t="str">
        <f>IF(Intro!$G$20="English",Variables!B9,Variables!C9)</f>
        <v>janv.-mars 2025</v>
      </c>
      <c r="K24" s="220" t="str">
        <f>IF(Intro!$G$20="English",Variables!B10,Variables!C10)</f>
        <v>janv.-mars 2026</v>
      </c>
      <c r="L24" s="71"/>
      <c r="M24" s="10"/>
      <c r="O24" s="18"/>
    </row>
    <row r="25" spans="1:16" s="207" customFormat="1" x14ac:dyDescent="0.25">
      <c r="A25" s="32"/>
      <c r="B25" s="729" t="str">
        <f>IF(Intro!$G$20="English",O25,P25)</f>
        <v>Importations au Canada</v>
      </c>
      <c r="C25" s="730"/>
      <c r="D25" s="730"/>
      <c r="E25" s="730"/>
      <c r="F25" s="730"/>
      <c r="G25" s="730"/>
      <c r="H25" s="730"/>
      <c r="I25" s="730"/>
      <c r="J25" s="730"/>
      <c r="K25" s="730"/>
      <c r="L25" s="71"/>
      <c r="O25" s="26" t="s">
        <v>234</v>
      </c>
      <c r="P25" s="207" t="s">
        <v>235</v>
      </c>
    </row>
    <row r="26" spans="1:16" x14ac:dyDescent="0.25">
      <c r="B26" s="736" t="str">
        <f>IF(Intro!$G$20="English",O26,P26)</f>
        <v>Importations</v>
      </c>
      <c r="C26" s="737"/>
      <c r="D26" s="738" t="str">
        <f>IF(Intro!$G$20="English",Variables!$B$23,Variables!$C$23)</f>
        <v>tonnes</v>
      </c>
      <c r="E26" s="738"/>
      <c r="F26" s="738"/>
      <c r="G26" s="133"/>
      <c r="H26" s="133"/>
      <c r="I26" s="133"/>
      <c r="J26" s="133"/>
      <c r="K26" s="127"/>
      <c r="L26" s="71"/>
      <c r="M26" s="10"/>
      <c r="O26" s="10" t="s">
        <v>91</v>
      </c>
      <c r="P26" s="10" t="s">
        <v>170</v>
      </c>
    </row>
    <row r="27" spans="1:16" x14ac:dyDescent="0.25">
      <c r="B27" s="736"/>
      <c r="C27" s="737"/>
      <c r="D27" s="738" t="str">
        <f>IF(Intro!$G$20="English",O27,P27)</f>
        <v>valeur d'achat nette rendue (CAD)</v>
      </c>
      <c r="E27" s="738"/>
      <c r="F27" s="738"/>
      <c r="G27" s="133"/>
      <c r="H27" s="133"/>
      <c r="I27" s="133"/>
      <c r="J27" s="133"/>
      <c r="K27" s="127"/>
      <c r="L27" s="71"/>
      <c r="M27" s="10"/>
      <c r="O27" s="10" t="s">
        <v>341</v>
      </c>
      <c r="P27" s="10" t="s">
        <v>340</v>
      </c>
    </row>
    <row r="28" spans="1:16" x14ac:dyDescent="0.25">
      <c r="B28" s="736"/>
      <c r="C28" s="737"/>
      <c r="D28" s="738" t="str">
        <f>"$ / "&amp;IF(Intro!$G$20="English",Variables!$B$24,Variables!$C$24)</f>
        <v>$ / tonne</v>
      </c>
      <c r="E28" s="738"/>
      <c r="F28" s="738"/>
      <c r="G28" s="150" t="str">
        <f>IF(G26=0,"-",G27/G26)</f>
        <v>-</v>
      </c>
      <c r="H28" s="150" t="str">
        <f>IF(H26=0,"-",H27/H26)</f>
        <v>-</v>
      </c>
      <c r="I28" s="150" t="str">
        <f t="shared" ref="I28:K28" si="0">IF(I26=0,"-",I27/I26)</f>
        <v>-</v>
      </c>
      <c r="J28" s="150" t="str">
        <f t="shared" si="0"/>
        <v>-</v>
      </c>
      <c r="K28" s="150" t="str">
        <f t="shared" si="0"/>
        <v>-</v>
      </c>
      <c r="L28" s="71"/>
      <c r="M28" s="10"/>
    </row>
    <row r="29" spans="1:16" s="207" customFormat="1" x14ac:dyDescent="0.25">
      <c r="A29" s="32"/>
      <c r="B29" s="731" t="str">
        <f>IF(Intro!$G$20="English",O29,P29)</f>
        <v>Ventes au Canada</v>
      </c>
      <c r="C29" s="732"/>
      <c r="D29" s="732"/>
      <c r="E29" s="732"/>
      <c r="F29" s="732"/>
      <c r="G29" s="732"/>
      <c r="H29" s="732"/>
      <c r="I29" s="732"/>
      <c r="J29" s="732"/>
      <c r="K29" s="732"/>
      <c r="L29" s="71"/>
      <c r="O29" s="26" t="s">
        <v>236</v>
      </c>
      <c r="P29" s="207" t="s">
        <v>237</v>
      </c>
    </row>
    <row r="30" spans="1:16" s="207" customFormat="1" x14ac:dyDescent="0.25">
      <c r="A30" s="32"/>
      <c r="B30" s="731" t="str">
        <f>IF(Intro!$G$20="English",O30,P30)</f>
        <v>Sans soudure</v>
      </c>
      <c r="C30" s="732"/>
      <c r="D30" s="732"/>
      <c r="E30" s="732"/>
      <c r="F30" s="732"/>
      <c r="G30" s="732"/>
      <c r="H30" s="732"/>
      <c r="I30" s="732"/>
      <c r="J30" s="732"/>
      <c r="K30" s="732"/>
      <c r="L30" s="71"/>
      <c r="O30" s="26" t="s">
        <v>485</v>
      </c>
      <c r="P30" s="207" t="s">
        <v>508</v>
      </c>
    </row>
    <row r="31" spans="1:16" x14ac:dyDescent="0.25">
      <c r="B31" s="567" t="str">
        <f>IF(Intro!$G$20="English",O31,P31)</f>
        <v>Ventes aux distributeurs au Canada</v>
      </c>
      <c r="C31" s="568"/>
      <c r="D31" s="738" t="str">
        <f>D26</f>
        <v>tonnes</v>
      </c>
      <c r="E31" s="738"/>
      <c r="F31" s="738"/>
      <c r="G31" s="133"/>
      <c r="H31" s="133"/>
      <c r="I31" s="133"/>
      <c r="J31" s="133"/>
      <c r="K31" s="127"/>
      <c r="L31" s="71"/>
      <c r="M31" s="10"/>
      <c r="O31" s="10" t="str">
        <f>"Sales to "&amp;Variables!$B$26&amp;" in Canada"</f>
        <v>Sales to distributors in Canada</v>
      </c>
      <c r="P31" s="10" t="str">
        <f>"Ventes aux "&amp;Variables!$C$26&amp;" au Canada"</f>
        <v>Ventes aux distributeurs au Canada</v>
      </c>
    </row>
    <row r="32" spans="1:16" x14ac:dyDescent="0.25">
      <c r="B32" s="567"/>
      <c r="C32" s="568"/>
      <c r="D32" s="738" t="str">
        <f>IF(Intro!$G$20="English",O32,P32)</f>
        <v>Sans soudures</v>
      </c>
      <c r="E32" s="738"/>
      <c r="F32" s="738"/>
      <c r="G32" s="133"/>
      <c r="H32" s="133"/>
      <c r="I32" s="133"/>
      <c r="J32" s="133"/>
      <c r="K32" s="127"/>
      <c r="L32" s="71"/>
      <c r="M32" s="10"/>
      <c r="O32" s="10" t="s">
        <v>343</v>
      </c>
      <c r="P32" s="10" t="s">
        <v>520</v>
      </c>
    </row>
    <row r="33" spans="1:16" ht="15" thickBot="1" x14ac:dyDescent="0.3">
      <c r="B33" s="749"/>
      <c r="C33" s="750"/>
      <c r="D33" s="740" t="str">
        <f>D28</f>
        <v>$ / tonne</v>
      </c>
      <c r="E33" s="740"/>
      <c r="F33" s="740"/>
      <c r="G33" s="150" t="str">
        <f>IF(G31=0,"-",G32/G31)</f>
        <v>-</v>
      </c>
      <c r="H33" s="150" t="str">
        <f>IF(H31=0,"-",H32/H31)</f>
        <v>-</v>
      </c>
      <c r="I33" s="150" t="str">
        <f t="shared" ref="I33:K33" si="1">IF(I31=0,"-",I32/I31)</f>
        <v>-</v>
      </c>
      <c r="J33" s="150" t="str">
        <f t="shared" si="1"/>
        <v>-</v>
      </c>
      <c r="K33" s="150" t="str">
        <f t="shared" si="1"/>
        <v>-</v>
      </c>
      <c r="L33" s="71"/>
      <c r="M33" s="10"/>
    </row>
    <row r="34" spans="1:16" x14ac:dyDescent="0.25">
      <c r="B34" s="751" t="str">
        <f>IF(Intro!$G$20="English",O34,P34)</f>
        <v>Ventes aux utilisateurs finals au Canada</v>
      </c>
      <c r="C34" s="752"/>
      <c r="D34" s="741" t="str">
        <f t="shared" ref="D34:D35" si="2">D31</f>
        <v>tonnes</v>
      </c>
      <c r="E34" s="741"/>
      <c r="F34" s="741"/>
      <c r="G34" s="133"/>
      <c r="H34" s="133"/>
      <c r="I34" s="133"/>
      <c r="J34" s="133"/>
      <c r="K34" s="127"/>
      <c r="L34" s="71"/>
      <c r="M34" s="10"/>
      <c r="O34" s="10" t="str">
        <f>"Sales to "&amp;Variables!$B$27&amp;" in Canada"</f>
        <v>Sales to end users in Canada</v>
      </c>
      <c r="P34" s="10" t="str">
        <f>"Ventes aux "&amp;Variables!$C$27&amp;" au Canada"</f>
        <v>Ventes aux utilisateurs finals au Canada</v>
      </c>
    </row>
    <row r="35" spans="1:16" x14ac:dyDescent="0.25">
      <c r="B35" s="567"/>
      <c r="C35" s="568"/>
      <c r="D35" s="738" t="str">
        <f t="shared" si="2"/>
        <v>Sans soudures</v>
      </c>
      <c r="E35" s="738"/>
      <c r="F35" s="738"/>
      <c r="G35" s="133"/>
      <c r="H35" s="133"/>
      <c r="I35" s="133"/>
      <c r="J35" s="133"/>
      <c r="K35" s="127"/>
      <c r="L35" s="71"/>
      <c r="M35" s="10"/>
    </row>
    <row r="36" spans="1:16" ht="15" thickBot="1" x14ac:dyDescent="0.3">
      <c r="B36" s="749"/>
      <c r="C36" s="750"/>
      <c r="D36" s="740" t="str">
        <f>D33</f>
        <v>$ / tonne</v>
      </c>
      <c r="E36" s="740"/>
      <c r="F36" s="740"/>
      <c r="G36" s="150" t="str">
        <f>IF(G34=0,"-",G35/G34)</f>
        <v>-</v>
      </c>
      <c r="H36" s="150" t="str">
        <f>IF(H34=0,"-",H35/H34)</f>
        <v>-</v>
      </c>
      <c r="I36" s="150" t="str">
        <f>IF(I34=0,"-",I35/I34)</f>
        <v>-</v>
      </c>
      <c r="J36" s="150" t="str">
        <f>IF(J34=0,"-",J35/J34)</f>
        <v>-</v>
      </c>
      <c r="K36" s="150" t="str">
        <f>IF(K34=0,"-",K35/K34)</f>
        <v>-</v>
      </c>
      <c r="L36" s="71"/>
      <c r="M36" s="10"/>
    </row>
    <row r="37" spans="1:16" x14ac:dyDescent="0.25">
      <c r="B37" s="731" t="str">
        <f>IF(Intro!$G$20="English",O37,P37)</f>
        <v>Soudé</v>
      </c>
      <c r="C37" s="732"/>
      <c r="D37" s="732"/>
      <c r="E37" s="732"/>
      <c r="F37" s="732"/>
      <c r="G37" s="732"/>
      <c r="H37" s="732"/>
      <c r="I37" s="732"/>
      <c r="J37" s="732"/>
      <c r="K37" s="732"/>
      <c r="L37" s="71"/>
      <c r="M37" s="10"/>
      <c r="O37" s="26" t="s">
        <v>486</v>
      </c>
      <c r="P37" s="207" t="s">
        <v>509</v>
      </c>
    </row>
    <row r="38" spans="1:16" x14ac:dyDescent="0.25">
      <c r="B38" s="567" t="str">
        <f>IF(Intro!$G$20="English",O31,P31)</f>
        <v>Ventes aux distributeurs au Canada</v>
      </c>
      <c r="C38" s="568"/>
      <c r="D38" s="738" t="str">
        <f>D34</f>
        <v>tonnes</v>
      </c>
      <c r="E38" s="738"/>
      <c r="F38" s="738"/>
      <c r="G38" s="133"/>
      <c r="H38" s="133"/>
      <c r="I38" s="133"/>
      <c r="J38" s="133"/>
      <c r="K38" s="127"/>
      <c r="L38" s="71"/>
      <c r="M38" s="10"/>
      <c r="O38" s="10" t="s">
        <v>343</v>
      </c>
      <c r="P38" s="10" t="s">
        <v>342</v>
      </c>
    </row>
    <row r="39" spans="1:16" x14ac:dyDescent="0.25">
      <c r="B39" s="567"/>
      <c r="C39" s="568"/>
      <c r="D39" s="738" t="str">
        <f>IF(Intro!$G$20="English",O38,P38)</f>
        <v>valeur de vente nette rendue (CAD)</v>
      </c>
      <c r="E39" s="738"/>
      <c r="F39" s="738"/>
      <c r="G39" s="133"/>
      <c r="H39" s="133"/>
      <c r="I39" s="133"/>
      <c r="J39" s="133"/>
      <c r="K39" s="127"/>
      <c r="L39" s="71"/>
      <c r="M39" s="10"/>
    </row>
    <row r="40" spans="1:16" ht="15" thickBot="1" x14ac:dyDescent="0.3">
      <c r="B40" s="749"/>
      <c r="C40" s="750"/>
      <c r="D40" s="740" t="str">
        <f>D36</f>
        <v>$ / tonne</v>
      </c>
      <c r="E40" s="740"/>
      <c r="F40" s="740"/>
      <c r="G40" s="150" t="str">
        <f>IF(G38=0,"-",G39/G38)</f>
        <v>-</v>
      </c>
      <c r="H40" s="150" t="str">
        <f>IF(H38=0,"-",H39/H38)</f>
        <v>-</v>
      </c>
      <c r="I40" s="150" t="str">
        <f t="shared" ref="I40:K40" si="3">IF(I38=0,"-",I39/I38)</f>
        <v>-</v>
      </c>
      <c r="J40" s="150" t="str">
        <f t="shared" si="3"/>
        <v>-</v>
      </c>
      <c r="K40" s="150" t="str">
        <f t="shared" si="3"/>
        <v>-</v>
      </c>
      <c r="L40" s="71"/>
      <c r="M40" s="10"/>
      <c r="O40" s="10" t="str">
        <f>"Sales to "&amp;Variables!$B$27&amp;" in Canada"</f>
        <v>Sales to end users in Canada</v>
      </c>
      <c r="P40" s="10" t="str">
        <f>"Ventes aux "&amp;Variables!$C$27&amp;" au Canada"</f>
        <v>Ventes aux utilisateurs finals au Canada</v>
      </c>
    </row>
    <row r="41" spans="1:16" x14ac:dyDescent="0.25">
      <c r="B41" s="751" t="str">
        <f>IF(Intro!$G$20="English",O34,P34)</f>
        <v>Ventes aux utilisateurs finals au Canada</v>
      </c>
      <c r="C41" s="752"/>
      <c r="D41" s="741" t="str">
        <f t="shared" ref="D41:D42" si="4">D38</f>
        <v>tonnes</v>
      </c>
      <c r="E41" s="741"/>
      <c r="F41" s="741"/>
      <c r="G41" s="133"/>
      <c r="H41" s="133"/>
      <c r="I41" s="133"/>
      <c r="J41" s="133"/>
      <c r="K41" s="127"/>
      <c r="L41" s="71"/>
      <c r="M41" s="10"/>
    </row>
    <row r="42" spans="1:16" x14ac:dyDescent="0.25">
      <c r="B42" s="567"/>
      <c r="C42" s="568"/>
      <c r="D42" s="738" t="str">
        <f t="shared" si="4"/>
        <v>valeur de vente nette rendue (CAD)</v>
      </c>
      <c r="E42" s="738"/>
      <c r="F42" s="738"/>
      <c r="G42" s="133"/>
      <c r="H42" s="133"/>
      <c r="I42" s="133"/>
      <c r="J42" s="133"/>
      <c r="K42" s="127"/>
      <c r="L42" s="71"/>
      <c r="M42" s="10"/>
    </row>
    <row r="43" spans="1:16" ht="15" thickBot="1" x14ac:dyDescent="0.3">
      <c r="B43" s="749"/>
      <c r="C43" s="750"/>
      <c r="D43" s="740" t="str">
        <f>D40</f>
        <v>$ / tonne</v>
      </c>
      <c r="E43" s="740"/>
      <c r="F43" s="740"/>
      <c r="G43" s="150" t="str">
        <f>IF(G41=0,"-",G42/G41)</f>
        <v>-</v>
      </c>
      <c r="H43" s="150" t="str">
        <f>IF(H41=0,"-",H42/H41)</f>
        <v>-</v>
      </c>
      <c r="I43" s="150" t="str">
        <f>IF(I41=0,"-",I42/I41)</f>
        <v>-</v>
      </c>
      <c r="J43" s="150" t="str">
        <f>IF(J41=0,"-",J42/J41)</f>
        <v>-</v>
      </c>
      <c r="K43" s="150" t="str">
        <f>IF(K41=0,"-",K42/K41)</f>
        <v>-</v>
      </c>
      <c r="L43" s="71"/>
      <c r="M43" s="10"/>
    </row>
    <row r="44" spans="1:16" x14ac:dyDescent="0.25">
      <c r="B44" s="634" t="str">
        <f>IF(Intro!$G$20="English",O44,P44)</f>
        <v>Ventes totales au Canada</v>
      </c>
      <c r="C44" s="635"/>
      <c r="D44" s="766" t="str">
        <f>D34</f>
        <v>tonnes</v>
      </c>
      <c r="E44" s="766"/>
      <c r="F44" s="766"/>
      <c r="G44" s="135">
        <f t="shared" ref="G44:K45" si="5">G31+G34+G38+G41</f>
        <v>0</v>
      </c>
      <c r="H44" s="135">
        <f t="shared" si="5"/>
        <v>0</v>
      </c>
      <c r="I44" s="135">
        <f t="shared" si="5"/>
        <v>0</v>
      </c>
      <c r="J44" s="135">
        <f t="shared" si="5"/>
        <v>0</v>
      </c>
      <c r="K44" s="135">
        <f t="shared" si="5"/>
        <v>0</v>
      </c>
      <c r="L44" s="71"/>
      <c r="M44" s="10"/>
      <c r="O44" s="10" t="s">
        <v>344</v>
      </c>
      <c r="P44" s="10" t="s">
        <v>345</v>
      </c>
    </row>
    <row r="45" spans="1:16" x14ac:dyDescent="0.25">
      <c r="B45" s="623"/>
      <c r="C45" s="624"/>
      <c r="D45" s="767" t="str">
        <f>D35</f>
        <v>Sans soudures</v>
      </c>
      <c r="E45" s="767"/>
      <c r="F45" s="767"/>
      <c r="G45" s="134">
        <f t="shared" si="5"/>
        <v>0</v>
      </c>
      <c r="H45" s="134">
        <f t="shared" si="5"/>
        <v>0</v>
      </c>
      <c r="I45" s="134">
        <f t="shared" si="5"/>
        <v>0</v>
      </c>
      <c r="J45" s="134">
        <f t="shared" si="5"/>
        <v>0</v>
      </c>
      <c r="K45" s="134">
        <f t="shared" si="5"/>
        <v>0</v>
      </c>
      <c r="L45" s="71"/>
      <c r="M45" s="10"/>
    </row>
    <row r="46" spans="1:16" x14ac:dyDescent="0.25">
      <c r="B46" s="623"/>
      <c r="C46" s="624"/>
      <c r="D46" s="767" t="str">
        <f>D36</f>
        <v>$ / tonne</v>
      </c>
      <c r="E46" s="767"/>
      <c r="F46" s="767"/>
      <c r="G46" s="150" t="str">
        <f>IF(G44=0,"-",G45/G44)</f>
        <v>-</v>
      </c>
      <c r="H46" s="150" t="str">
        <f>IF(H44=0,"-",H45/H44)</f>
        <v>-</v>
      </c>
      <c r="I46" s="150" t="str">
        <f>IF(I44=0,"-",I45/I44)</f>
        <v>-</v>
      </c>
      <c r="J46" s="150" t="str">
        <f t="shared" ref="J46:K46" si="6">IF(J44=0,"-",J45/J44)</f>
        <v>-</v>
      </c>
      <c r="K46" s="150" t="str">
        <f t="shared" si="6"/>
        <v>-</v>
      </c>
      <c r="L46" s="71"/>
      <c r="M46" s="10"/>
    </row>
    <row r="47" spans="1:16" x14ac:dyDescent="0.25">
      <c r="B47" s="72"/>
      <c r="C47" s="82"/>
      <c r="D47" s="82"/>
      <c r="E47" s="82"/>
      <c r="F47" s="82"/>
      <c r="G47" s="82"/>
      <c r="H47" s="82"/>
      <c r="I47" s="82"/>
      <c r="J47" s="82"/>
      <c r="K47" s="82"/>
      <c r="L47" s="83"/>
      <c r="M47" s="10"/>
    </row>
    <row r="48" spans="1:16" s="207" customFormat="1" x14ac:dyDescent="0.25">
      <c r="A48" s="7"/>
      <c r="B48" s="31"/>
      <c r="C48" s="31"/>
      <c r="D48" s="89"/>
      <c r="E48" s="217"/>
      <c r="F48" s="217"/>
      <c r="G48" s="217"/>
      <c r="H48" s="217"/>
      <c r="I48" s="217"/>
      <c r="J48" s="217"/>
      <c r="K48" s="217"/>
      <c r="L48" s="217"/>
      <c r="M48" s="73"/>
    </row>
    <row r="49" spans="1:16" x14ac:dyDescent="0.25">
      <c r="B49" s="533" t="str">
        <f>IF(Intro!$G$20="English",O49,P49)</f>
        <v>VENTES AU CANADA D'IMPORTATIONS À VOS CINQ PLUS IMPORTANTS CLIENTS</v>
      </c>
      <c r="C49" s="534"/>
      <c r="D49" s="534"/>
      <c r="E49" s="534"/>
      <c r="F49" s="534"/>
      <c r="G49" s="534"/>
      <c r="H49" s="534"/>
      <c r="I49" s="534"/>
      <c r="J49" s="534"/>
      <c r="K49" s="534"/>
      <c r="L49" s="535"/>
      <c r="M49" s="10"/>
      <c r="O49" s="105" t="s">
        <v>335</v>
      </c>
      <c r="P49" s="105" t="s">
        <v>397</v>
      </c>
    </row>
    <row r="50" spans="1:16" s="207" customFormat="1" x14ac:dyDescent="0.25">
      <c r="A50" s="7"/>
      <c r="B50" s="671" t="s">
        <v>15</v>
      </c>
      <c r="C50" s="672"/>
      <c r="D50" s="672"/>
      <c r="E50" s="672"/>
      <c r="F50" s="672"/>
      <c r="G50" s="672"/>
      <c r="H50" s="672"/>
      <c r="I50" s="672"/>
      <c r="J50" s="672"/>
      <c r="K50" s="672"/>
      <c r="L50" s="673"/>
      <c r="M50" s="73"/>
      <c r="O50" s="10"/>
    </row>
    <row r="51" spans="1:16" x14ac:dyDescent="0.25">
      <c r="B51" s="16"/>
      <c r="C51" s="35"/>
      <c r="D51" s="35"/>
      <c r="E51" s="36"/>
      <c r="F51" s="36"/>
      <c r="G51" s="36"/>
      <c r="H51" s="36"/>
      <c r="I51" s="36"/>
      <c r="J51" s="36"/>
      <c r="K51" s="36"/>
      <c r="L51" s="17"/>
      <c r="M51" s="10"/>
    </row>
    <row r="52" spans="1:16" x14ac:dyDescent="0.25">
      <c r="B52" s="530" t="str">
        <f>IF(Intro!$G$20="English",O52,P52)</f>
        <v>Déclarez le volume et la valeur des ventes d'importations au Canada pour chaque compte indiqué ci-dessous :</v>
      </c>
      <c r="C52" s="531"/>
      <c r="D52" s="531"/>
      <c r="E52" s="531"/>
      <c r="F52" s="531"/>
      <c r="G52" s="531"/>
      <c r="H52" s="531"/>
      <c r="I52" s="531"/>
      <c r="J52" s="531"/>
      <c r="K52" s="531"/>
      <c r="L52" s="532"/>
      <c r="M52" s="10"/>
      <c r="O52" s="18" t="s">
        <v>172</v>
      </c>
      <c r="P52" s="10" t="s">
        <v>173</v>
      </c>
    </row>
    <row r="53" spans="1:16" x14ac:dyDescent="0.25">
      <c r="B53" s="530" t="str">
        <f>Pro!B22</f>
        <v>Note - Ne répondez à cette question que si votre entreprise a vendu les marchandises du 1er janvier 2023 au 31 mars 2026.</v>
      </c>
      <c r="C53" s="531"/>
      <c r="D53" s="531"/>
      <c r="E53" s="531"/>
      <c r="F53" s="531"/>
      <c r="G53" s="531"/>
      <c r="H53" s="531"/>
      <c r="I53" s="531"/>
      <c r="J53" s="531"/>
      <c r="K53" s="531"/>
      <c r="L53" s="532"/>
      <c r="M53" s="10"/>
      <c r="O53" s="18"/>
    </row>
    <row r="54" spans="1:16" x14ac:dyDescent="0.25">
      <c r="B54" s="214"/>
      <c r="C54" s="215"/>
      <c r="D54" s="35"/>
      <c r="E54" s="36"/>
      <c r="F54" s="36"/>
      <c r="G54" s="36"/>
      <c r="H54" s="36"/>
      <c r="I54" s="36"/>
      <c r="J54" s="36"/>
      <c r="K54" s="36"/>
      <c r="L54" s="17"/>
      <c r="M54" s="10"/>
      <c r="O54" s="18"/>
    </row>
    <row r="55" spans="1:16" x14ac:dyDescent="0.25">
      <c r="B55" s="772"/>
      <c r="C55" s="773"/>
      <c r="D55" s="774"/>
      <c r="E55" s="218" t="str">
        <f>IF(Intro!$G$20="English","Q","T")&amp;IF(MID(F55,2,1)&lt;&gt;"1",MID(F55,2,1)-1&amp;" - "&amp;MID(F55,6,4),"4 - "&amp;MID(F55,6,4)-1)</f>
        <v>T2 - 2024</v>
      </c>
      <c r="F55" s="218" t="str">
        <f>IF(Intro!$G$20="English","Q","T")&amp;IF(MID(G55,2,1)&lt;&gt;"1",MID(G55,2,1)-1&amp;" - "&amp;MID(G55,6,4),"4 - "&amp;MID(G55,6,4)-1)</f>
        <v>T3 - 2024</v>
      </c>
      <c r="G55" s="218" t="str">
        <f>IF(Intro!$G$20="English","Q","T")&amp;IF(MID(H55,2,1)&lt;&gt;"1",MID(H55,2,1)-1&amp;" - "&amp;MID(H55,6,4),"4 - "&amp;MID(H55,6,4)-1)</f>
        <v>T4 - 2024</v>
      </c>
      <c r="H55" s="218" t="str">
        <f>IF(Intro!$G$20="English","Q","T")&amp;IF(MID(I55,2,1)&lt;&gt;"1",MID(I55,2,1)-1&amp;" - "&amp;MID(I55,6,4),"4 - "&amp;MID(I55,6,4)-1)</f>
        <v>T1 - 2025</v>
      </c>
      <c r="I55" s="218" t="str">
        <f>IF(Intro!$G$20="English","Q","T")&amp;IF(MID(J55,2,1)&lt;&gt;"1",MID(J55,2,1)-1&amp;" - "&amp;MID(J55,6,4),"4 - "&amp;MID(J55,6,4)-1)</f>
        <v>T2 - 2025</v>
      </c>
      <c r="J55" s="218" t="str">
        <f>IF(Intro!$G$20="English","Q","T")&amp;IF(MID(K55,2,1)&lt;&gt;"1",MID(K55,2,1)-1&amp;" - "&amp;MID(K55,6,4),"4 - "&amp;MID(K55,6,4)-1)</f>
        <v>T3 - 2025</v>
      </c>
      <c r="K55" s="218" t="str">
        <f>IF(Intro!$G$20="English","Q","T")&amp;IF(MID(L55,2,1)&lt;&gt;"1",MID(L55,2,1)-1&amp;" - "&amp;MID(L55,6,4),"4 - "&amp;MID(L55,6,4)-1)</f>
        <v>T4 - 2025</v>
      </c>
      <c r="L55" s="219" t="str">
        <f>IF(Intro!$G$20="English",Variables!B29&amp;" - ",Variables!C29&amp;" - ")&amp;Variables!B8</f>
        <v>T1 - 2026</v>
      </c>
      <c r="M55" s="10"/>
      <c r="O55" s="18"/>
    </row>
    <row r="56" spans="1:16" x14ac:dyDescent="0.25">
      <c r="B56" s="733" t="str">
        <f>IF(Intro!$G$20="English",O57,P57)</f>
        <v xml:space="preserve">Client 1 - </v>
      </c>
      <c r="C56" s="734"/>
      <c r="D56" s="734"/>
      <c r="E56" s="734"/>
      <c r="F56" s="734"/>
      <c r="G56" s="734"/>
      <c r="H56" s="734"/>
      <c r="I56" s="734"/>
      <c r="J56" s="734"/>
      <c r="K56" s="734"/>
      <c r="L56" s="735"/>
      <c r="M56" s="10"/>
      <c r="O56" s="18"/>
    </row>
    <row r="57" spans="1:16" x14ac:dyDescent="0.25">
      <c r="B57" s="747" t="str">
        <f>D$31</f>
        <v>tonnes</v>
      </c>
      <c r="C57" s="748"/>
      <c r="D57" s="748"/>
      <c r="E57" s="137"/>
      <c r="F57" s="137"/>
      <c r="G57" s="137"/>
      <c r="H57" s="137"/>
      <c r="I57" s="137"/>
      <c r="J57" s="137"/>
      <c r="K57" s="137"/>
      <c r="L57" s="138"/>
      <c r="M57" s="10"/>
      <c r="O57" s="10" t="str">
        <f>"Account 1 - "&amp;Pro!C119</f>
        <v xml:space="preserve">Account 1 - </v>
      </c>
      <c r="P57" s="10" t="str">
        <f>"Client 1 - "&amp;Pro!C119</f>
        <v xml:space="preserve">Client 1 - </v>
      </c>
    </row>
    <row r="58" spans="1:16" x14ac:dyDescent="0.25">
      <c r="B58" s="747" t="str">
        <f>D$32</f>
        <v>Sans soudures</v>
      </c>
      <c r="C58" s="748"/>
      <c r="D58" s="748"/>
      <c r="E58" s="137"/>
      <c r="F58" s="137"/>
      <c r="G58" s="137"/>
      <c r="H58" s="137"/>
      <c r="I58" s="137"/>
      <c r="J58" s="137"/>
      <c r="K58" s="137"/>
      <c r="L58" s="138"/>
      <c r="M58" s="10"/>
    </row>
    <row r="59" spans="1:16" x14ac:dyDescent="0.25">
      <c r="B59" s="747" t="str">
        <f>D$33</f>
        <v>$ / tonne</v>
      </c>
      <c r="C59" s="748"/>
      <c r="D59" s="748"/>
      <c r="E59" s="151" t="str">
        <f>IF(E57=0,"-",E58/E57)</f>
        <v>-</v>
      </c>
      <c r="F59" s="151" t="str">
        <f t="shared" ref="F59:L59" si="7">IF(F57=0,"-",F58/F57)</f>
        <v>-</v>
      </c>
      <c r="G59" s="151" t="str">
        <f t="shared" si="7"/>
        <v>-</v>
      </c>
      <c r="H59" s="151" t="str">
        <f t="shared" si="7"/>
        <v>-</v>
      </c>
      <c r="I59" s="151" t="str">
        <f t="shared" si="7"/>
        <v>-</v>
      </c>
      <c r="J59" s="151" t="str">
        <f t="shared" si="7"/>
        <v>-</v>
      </c>
      <c r="K59" s="151" t="str">
        <f t="shared" si="7"/>
        <v>-</v>
      </c>
      <c r="L59" s="152" t="str">
        <f t="shared" si="7"/>
        <v>-</v>
      </c>
      <c r="M59" s="10"/>
    </row>
    <row r="60" spans="1:16" x14ac:dyDescent="0.25">
      <c r="B60" s="733" t="str">
        <f>IF(Intro!$G$20="English",O61,P61)</f>
        <v xml:space="preserve">Client 2 - </v>
      </c>
      <c r="C60" s="734"/>
      <c r="D60" s="734"/>
      <c r="E60" s="734"/>
      <c r="F60" s="734"/>
      <c r="G60" s="734"/>
      <c r="H60" s="734"/>
      <c r="I60" s="734"/>
      <c r="J60" s="734"/>
      <c r="K60" s="734"/>
      <c r="L60" s="735"/>
      <c r="M60" s="10"/>
    </row>
    <row r="61" spans="1:16" x14ac:dyDescent="0.25">
      <c r="B61" s="747" t="str">
        <f>D$31</f>
        <v>tonnes</v>
      </c>
      <c r="C61" s="748"/>
      <c r="D61" s="748"/>
      <c r="E61" s="137"/>
      <c r="F61" s="137"/>
      <c r="G61" s="137"/>
      <c r="H61" s="137"/>
      <c r="I61" s="137"/>
      <c r="J61" s="137"/>
      <c r="K61" s="137"/>
      <c r="L61" s="138"/>
      <c r="M61" s="10"/>
      <c r="O61" s="10" t="str">
        <f>"Account 2 - "&amp;Pro!C120</f>
        <v xml:space="preserve">Account 2 - </v>
      </c>
      <c r="P61" s="10" t="str">
        <f>"Client 2 - "&amp;Pro!C120</f>
        <v xml:space="preserve">Client 2 - </v>
      </c>
    </row>
    <row r="62" spans="1:16" x14ac:dyDescent="0.25">
      <c r="B62" s="747" t="str">
        <f>D$32</f>
        <v>Sans soudures</v>
      </c>
      <c r="C62" s="748"/>
      <c r="D62" s="748"/>
      <c r="E62" s="137"/>
      <c r="F62" s="137"/>
      <c r="G62" s="137"/>
      <c r="H62" s="137"/>
      <c r="I62" s="137"/>
      <c r="J62" s="137"/>
      <c r="K62" s="137"/>
      <c r="L62" s="138"/>
      <c r="M62" s="10"/>
    </row>
    <row r="63" spans="1:16" x14ac:dyDescent="0.25">
      <c r="B63" s="747" t="str">
        <f>D$33</f>
        <v>$ / tonne</v>
      </c>
      <c r="C63" s="748"/>
      <c r="D63" s="748"/>
      <c r="E63" s="151" t="str">
        <f>IF(E61=0,"-",E62/E61)</f>
        <v>-</v>
      </c>
      <c r="F63" s="151" t="str">
        <f t="shared" ref="F63:L63" si="8">IF(F61=0,"-",F62/F61)</f>
        <v>-</v>
      </c>
      <c r="G63" s="151" t="str">
        <f t="shared" si="8"/>
        <v>-</v>
      </c>
      <c r="H63" s="151" t="str">
        <f t="shared" si="8"/>
        <v>-</v>
      </c>
      <c r="I63" s="151" t="str">
        <f t="shared" si="8"/>
        <v>-</v>
      </c>
      <c r="J63" s="151" t="str">
        <f t="shared" si="8"/>
        <v>-</v>
      </c>
      <c r="K63" s="151" t="str">
        <f t="shared" si="8"/>
        <v>-</v>
      </c>
      <c r="L63" s="152" t="str">
        <f t="shared" si="8"/>
        <v>-</v>
      </c>
      <c r="M63" s="10"/>
    </row>
    <row r="64" spans="1:16" x14ac:dyDescent="0.25">
      <c r="B64" s="733" t="str">
        <f>IF(Intro!$G$20="English",O65,P65)</f>
        <v xml:space="preserve">Client 3 - </v>
      </c>
      <c r="C64" s="734"/>
      <c r="D64" s="734"/>
      <c r="E64" s="734"/>
      <c r="F64" s="734"/>
      <c r="G64" s="734"/>
      <c r="H64" s="734"/>
      <c r="I64" s="734"/>
      <c r="J64" s="734"/>
      <c r="K64" s="734"/>
      <c r="L64" s="735"/>
      <c r="M64" s="10"/>
    </row>
    <row r="65" spans="2:19" x14ac:dyDescent="0.25">
      <c r="B65" s="747" t="str">
        <f>D$31</f>
        <v>tonnes</v>
      </c>
      <c r="C65" s="748"/>
      <c r="D65" s="748"/>
      <c r="E65" s="137"/>
      <c r="F65" s="137"/>
      <c r="G65" s="137"/>
      <c r="H65" s="137"/>
      <c r="I65" s="137"/>
      <c r="J65" s="137"/>
      <c r="K65" s="137"/>
      <c r="L65" s="138"/>
      <c r="M65" s="10"/>
      <c r="O65" s="10" t="str">
        <f>"Account 3 - "&amp;Pro!C121</f>
        <v xml:space="preserve">Account 3 - </v>
      </c>
      <c r="P65" s="10" t="str">
        <f>"Client 3 - "&amp;Pro!C121</f>
        <v xml:space="preserve">Client 3 - </v>
      </c>
    </row>
    <row r="66" spans="2:19" x14ac:dyDescent="0.25">
      <c r="B66" s="747" t="str">
        <f>D$32</f>
        <v>Sans soudures</v>
      </c>
      <c r="C66" s="748"/>
      <c r="D66" s="748"/>
      <c r="E66" s="137"/>
      <c r="F66" s="137"/>
      <c r="G66" s="137"/>
      <c r="H66" s="137"/>
      <c r="I66" s="137"/>
      <c r="J66" s="137"/>
      <c r="K66" s="137"/>
      <c r="L66" s="138"/>
      <c r="M66" s="10"/>
    </row>
    <row r="67" spans="2:19" x14ac:dyDescent="0.25">
      <c r="B67" s="747" t="str">
        <f>D$33</f>
        <v>$ / tonne</v>
      </c>
      <c r="C67" s="748"/>
      <c r="D67" s="748"/>
      <c r="E67" s="151" t="str">
        <f>IF(E65=0,"-",E66/E65)</f>
        <v>-</v>
      </c>
      <c r="F67" s="151" t="str">
        <f t="shared" ref="F67:L67" si="9">IF(F65=0,"-",F66/F65)</f>
        <v>-</v>
      </c>
      <c r="G67" s="151" t="str">
        <f t="shared" si="9"/>
        <v>-</v>
      </c>
      <c r="H67" s="151" t="str">
        <f t="shared" si="9"/>
        <v>-</v>
      </c>
      <c r="I67" s="151" t="str">
        <f t="shared" si="9"/>
        <v>-</v>
      </c>
      <c r="J67" s="151" t="str">
        <f t="shared" si="9"/>
        <v>-</v>
      </c>
      <c r="K67" s="151" t="str">
        <f t="shared" si="9"/>
        <v>-</v>
      </c>
      <c r="L67" s="152" t="str">
        <f t="shared" si="9"/>
        <v>-</v>
      </c>
      <c r="M67" s="10"/>
    </row>
    <row r="68" spans="2:19" x14ac:dyDescent="0.25">
      <c r="B68" s="733" t="str">
        <f>IF(Intro!$G$20="English",O69,P69)</f>
        <v xml:space="preserve">Client 4 - </v>
      </c>
      <c r="C68" s="734"/>
      <c r="D68" s="734"/>
      <c r="E68" s="734"/>
      <c r="F68" s="734"/>
      <c r="G68" s="734"/>
      <c r="H68" s="734"/>
      <c r="I68" s="734"/>
      <c r="J68" s="734"/>
      <c r="K68" s="734"/>
      <c r="L68" s="735"/>
      <c r="M68" s="10"/>
    </row>
    <row r="69" spans="2:19" x14ac:dyDescent="0.25">
      <c r="B69" s="747" t="str">
        <f>D$31</f>
        <v>tonnes</v>
      </c>
      <c r="C69" s="748"/>
      <c r="D69" s="748"/>
      <c r="E69" s="137"/>
      <c r="F69" s="137"/>
      <c r="G69" s="137"/>
      <c r="H69" s="137"/>
      <c r="I69" s="137"/>
      <c r="J69" s="137"/>
      <c r="K69" s="137"/>
      <c r="L69" s="138"/>
      <c r="M69" s="10"/>
      <c r="O69" s="10" t="str">
        <f>"Account 4 - "&amp;Pro!C122</f>
        <v xml:space="preserve">Account 4 - </v>
      </c>
      <c r="P69" s="10" t="str">
        <f>"Client 4 - "&amp;Pro!C122</f>
        <v xml:space="preserve">Client 4 - </v>
      </c>
    </row>
    <row r="70" spans="2:19" x14ac:dyDescent="0.25">
      <c r="B70" s="747" t="str">
        <f>D$32</f>
        <v>Sans soudures</v>
      </c>
      <c r="C70" s="748"/>
      <c r="D70" s="748"/>
      <c r="E70" s="137"/>
      <c r="F70" s="137"/>
      <c r="G70" s="137"/>
      <c r="H70" s="137"/>
      <c r="I70" s="137"/>
      <c r="J70" s="137"/>
      <c r="K70" s="137"/>
      <c r="L70" s="138"/>
      <c r="M70" s="10"/>
    </row>
    <row r="71" spans="2:19" x14ac:dyDescent="0.25">
      <c r="B71" s="747" t="str">
        <f>D$33</f>
        <v>$ / tonne</v>
      </c>
      <c r="C71" s="748"/>
      <c r="D71" s="748"/>
      <c r="E71" s="151" t="str">
        <f>IF(E69=0,"-",E70/E69)</f>
        <v>-</v>
      </c>
      <c r="F71" s="151" t="str">
        <f t="shared" ref="F71:L71" si="10">IF(F69=0,"-",F70/F69)</f>
        <v>-</v>
      </c>
      <c r="G71" s="151" t="str">
        <f t="shared" si="10"/>
        <v>-</v>
      </c>
      <c r="H71" s="151" t="str">
        <f t="shared" si="10"/>
        <v>-</v>
      </c>
      <c r="I71" s="151" t="str">
        <f t="shared" si="10"/>
        <v>-</v>
      </c>
      <c r="J71" s="151" t="str">
        <f t="shared" si="10"/>
        <v>-</v>
      </c>
      <c r="K71" s="151" t="str">
        <f t="shared" si="10"/>
        <v>-</v>
      </c>
      <c r="L71" s="152" t="str">
        <f t="shared" si="10"/>
        <v>-</v>
      </c>
      <c r="M71" s="10"/>
    </row>
    <row r="72" spans="2:19" x14ac:dyDescent="0.25">
      <c r="B72" s="733" t="str">
        <f>IF(Intro!$G$20="English",O73,P73)</f>
        <v xml:space="preserve">Client 5 - </v>
      </c>
      <c r="C72" s="734"/>
      <c r="D72" s="734"/>
      <c r="E72" s="734"/>
      <c r="F72" s="734"/>
      <c r="G72" s="734"/>
      <c r="H72" s="734"/>
      <c r="I72" s="734"/>
      <c r="J72" s="734"/>
      <c r="K72" s="734"/>
      <c r="L72" s="735"/>
      <c r="M72" s="10"/>
    </row>
    <row r="73" spans="2:19" x14ac:dyDescent="0.25">
      <c r="B73" s="747" t="str">
        <f>D$31</f>
        <v>tonnes</v>
      </c>
      <c r="C73" s="748"/>
      <c r="D73" s="748"/>
      <c r="E73" s="137"/>
      <c r="F73" s="137"/>
      <c r="G73" s="137"/>
      <c r="H73" s="137"/>
      <c r="I73" s="137"/>
      <c r="J73" s="137"/>
      <c r="K73" s="137"/>
      <c r="L73" s="138"/>
      <c r="M73" s="10"/>
      <c r="O73" s="10" t="str">
        <f>"Account 5 - "&amp;Pro!C123</f>
        <v xml:space="preserve">Account 5 - </v>
      </c>
      <c r="P73" s="10" t="str">
        <f>"Client 5 - "&amp;Pro!C123</f>
        <v xml:space="preserve">Client 5 - </v>
      </c>
    </row>
    <row r="74" spans="2:19" x14ac:dyDescent="0.25">
      <c r="B74" s="747" t="str">
        <f>D$32</f>
        <v>Sans soudures</v>
      </c>
      <c r="C74" s="748"/>
      <c r="D74" s="748"/>
      <c r="E74" s="137"/>
      <c r="F74" s="137"/>
      <c r="G74" s="137"/>
      <c r="H74" s="137"/>
      <c r="I74" s="137"/>
      <c r="J74" s="137"/>
      <c r="K74" s="137"/>
      <c r="L74" s="138"/>
      <c r="M74" s="10"/>
    </row>
    <row r="75" spans="2:19" x14ac:dyDescent="0.25">
      <c r="B75" s="747" t="str">
        <f>D$33</f>
        <v>$ / tonne</v>
      </c>
      <c r="C75" s="748"/>
      <c r="D75" s="748"/>
      <c r="E75" s="151" t="str">
        <f>IF(E73=0,"-",E74/E73)</f>
        <v>-</v>
      </c>
      <c r="F75" s="151" t="str">
        <f t="shared" ref="F75:L75" si="11">IF(F73=0,"-",F74/F73)</f>
        <v>-</v>
      </c>
      <c r="G75" s="151" t="str">
        <f t="shared" si="11"/>
        <v>-</v>
      </c>
      <c r="H75" s="151" t="str">
        <f t="shared" si="11"/>
        <v>-</v>
      </c>
      <c r="I75" s="151" t="str">
        <f t="shared" si="11"/>
        <v>-</v>
      </c>
      <c r="J75" s="151" t="str">
        <f t="shared" si="11"/>
        <v>-</v>
      </c>
      <c r="K75" s="151" t="str">
        <f t="shared" si="11"/>
        <v>-</v>
      </c>
      <c r="L75" s="152" t="str">
        <f t="shared" si="11"/>
        <v>-</v>
      </c>
      <c r="M75" s="10"/>
    </row>
    <row r="76" spans="2:19" x14ac:dyDescent="0.25">
      <c r="B76" s="214"/>
      <c r="C76" s="215"/>
      <c r="D76" s="215"/>
      <c r="E76" s="29"/>
      <c r="F76" s="29"/>
      <c r="G76" s="29"/>
      <c r="H76" s="29"/>
      <c r="I76" s="29"/>
      <c r="J76" s="29"/>
      <c r="K76" s="29"/>
      <c r="L76" s="30"/>
      <c r="M76" s="10"/>
    </row>
    <row r="77" spans="2:19" x14ac:dyDescent="0.25">
      <c r="B77" s="530" t="str">
        <f>IF(Intro!$G$20="English",O77,P77)</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7" s="531"/>
      <c r="D77" s="531"/>
      <c r="E77" s="531"/>
      <c r="F77" s="531"/>
      <c r="G77" s="531"/>
      <c r="H77" s="531"/>
      <c r="I77" s="531"/>
      <c r="J77" s="531"/>
      <c r="K77" s="531"/>
      <c r="L77" s="532"/>
      <c r="M77" s="10"/>
      <c r="O77" s="10" t="s">
        <v>359</v>
      </c>
      <c r="P77" s="10" t="s">
        <v>360</v>
      </c>
      <c r="S77" s="38"/>
    </row>
    <row r="78" spans="2:19" x14ac:dyDescent="0.25">
      <c r="B78" s="530"/>
      <c r="C78" s="531"/>
      <c r="D78" s="531"/>
      <c r="E78" s="531"/>
      <c r="F78" s="531"/>
      <c r="G78" s="531"/>
      <c r="H78" s="531"/>
      <c r="I78" s="531"/>
      <c r="J78" s="531"/>
      <c r="K78" s="531"/>
      <c r="L78" s="532"/>
      <c r="M78" s="10"/>
      <c r="S78" s="38"/>
    </row>
    <row r="79" spans="2:19" x14ac:dyDescent="0.25">
      <c r="B79" s="214"/>
      <c r="C79" s="215"/>
      <c r="D79" s="215"/>
      <c r="E79" s="29"/>
      <c r="F79" s="29"/>
      <c r="G79" s="29"/>
      <c r="H79" s="29"/>
      <c r="I79" s="29"/>
      <c r="J79" s="29"/>
      <c r="K79" s="29"/>
      <c r="L79" s="30"/>
      <c r="M79" s="10"/>
      <c r="S79" s="38"/>
    </row>
    <row r="80" spans="2:19" ht="14.1" customHeight="1" x14ac:dyDescent="0.25">
      <c r="B80" s="753" t="str">
        <f>Variables!D66</f>
        <v>Vérification - volume</v>
      </c>
      <c r="C80" s="644"/>
      <c r="D80" s="644"/>
      <c r="E80" s="644"/>
      <c r="F80" s="645"/>
      <c r="G80" s="218">
        <f>H80-1</f>
        <v>2024</v>
      </c>
      <c r="H80" s="218">
        <f>Variables!B8-1</f>
        <v>2025</v>
      </c>
      <c r="I80" s="218" t="str">
        <f>J24</f>
        <v>janv.-mars 2025</v>
      </c>
      <c r="J80" s="218" t="str">
        <f>K24</f>
        <v>janv.-mars 2026</v>
      </c>
      <c r="K80" s="225"/>
      <c r="L80" s="226"/>
      <c r="M80" s="10"/>
      <c r="O80" s="10" t="s">
        <v>379</v>
      </c>
      <c r="P80" s="10" t="s">
        <v>380</v>
      </c>
    </row>
    <row r="81" spans="1:16" ht="14.1" customHeight="1" x14ac:dyDescent="0.25">
      <c r="B81" s="757" t="str">
        <f>D31</f>
        <v>tonnes</v>
      </c>
      <c r="C81" s="758"/>
      <c r="D81" s="758"/>
      <c r="E81" s="758"/>
      <c r="F81" s="759"/>
      <c r="G81" s="187" t="str">
        <f>IF(SUM(E57:G57,E61:G61,E65:G65,E69:G69,E73:G73)&gt;H44,Variables!$D$67,Variables!$D$68)</f>
        <v>Correct</v>
      </c>
      <c r="H81" s="187" t="str">
        <f>IF(SUM(H57:K57,H61:K61,H65:K65,H69:K69,H73:K73)&gt;I44,Variables!$D$67,Variables!$D$68)</f>
        <v>Correct</v>
      </c>
      <c r="I81" s="187" t="str">
        <f>IF(SUM(H57,H61,H65,H69,H73)&gt;J44,Variables!$D$67,Variables!$D$68)</f>
        <v>Correct</v>
      </c>
      <c r="J81" s="187" t="str">
        <f>IF(SUM(L57,L61,L65,L69,L73)&gt;K44,Variables!$D$67,Variables!$D$68)</f>
        <v>Correct</v>
      </c>
      <c r="K81" s="225"/>
      <c r="L81" s="226"/>
      <c r="M81" s="10"/>
    </row>
    <row r="82" spans="1:16" ht="27.75" customHeight="1" x14ac:dyDescent="0.25">
      <c r="B82" s="754" t="str">
        <f>IF(Intro!$G$20="English",O82,P82)</f>
        <v>volume - total des ventes au Canada d'importations aux cinq principaux clients (Question 2)</v>
      </c>
      <c r="C82" s="755"/>
      <c r="D82" s="755"/>
      <c r="E82" s="755"/>
      <c r="F82" s="756"/>
      <c r="G82" s="187">
        <f>SUM(E57:G57,E61:G61,E65:G65,E69:G69,E73:G73)</f>
        <v>0</v>
      </c>
      <c r="H82" s="187">
        <f>SUM(H57:K57,H61:K61,H65:K65,H69:K69,H73:K73)</f>
        <v>0</v>
      </c>
      <c r="I82" s="187">
        <f>SUM(H57,H61,H65,H69,H73)</f>
        <v>0</v>
      </c>
      <c r="J82" s="187">
        <f>SUM(L57,L61,L65,L69,L73)</f>
        <v>0</v>
      </c>
      <c r="K82" s="225"/>
      <c r="L82" s="226"/>
      <c r="M82" s="10"/>
      <c r="O82" s="73" t="s">
        <v>439</v>
      </c>
      <c r="P82" s="10" t="s">
        <v>441</v>
      </c>
    </row>
    <row r="83" spans="1:16" ht="14.1" customHeight="1" x14ac:dyDescent="0.25">
      <c r="B83" s="754" t="str">
        <f>IF(Intro!$G$20="English",O83,P83)</f>
        <v>volume - total des ventes au Canada d'importations (Question 1)</v>
      </c>
      <c r="C83" s="755"/>
      <c r="D83" s="755"/>
      <c r="E83" s="755"/>
      <c r="F83" s="756"/>
      <c r="G83" s="187">
        <f>H44</f>
        <v>0</v>
      </c>
      <c r="H83" s="187">
        <f>I44</f>
        <v>0</v>
      </c>
      <c r="I83" s="187">
        <f>J44</f>
        <v>0</v>
      </c>
      <c r="J83" s="187">
        <f>K44</f>
        <v>0</v>
      </c>
      <c r="K83" s="225"/>
      <c r="L83" s="226"/>
      <c r="M83" s="10"/>
      <c r="O83" s="10" t="s">
        <v>440</v>
      </c>
      <c r="P83" s="10" t="s">
        <v>442</v>
      </c>
    </row>
    <row r="84" spans="1:16" ht="14.1" customHeight="1" x14ac:dyDescent="0.25">
      <c r="B84" s="760" t="str">
        <f>Variables!D70</f>
        <v>Vérification - valeur</v>
      </c>
      <c r="C84" s="761"/>
      <c r="D84" s="761"/>
      <c r="E84" s="761"/>
      <c r="F84" s="762"/>
      <c r="G84" s="218">
        <f>G80</f>
        <v>2024</v>
      </c>
      <c r="H84" s="218">
        <f>H80</f>
        <v>2025</v>
      </c>
      <c r="I84" s="218" t="str">
        <f>I80</f>
        <v>janv.-mars 2025</v>
      </c>
      <c r="J84" s="218" t="str">
        <f>J80</f>
        <v>janv.-mars 2026</v>
      </c>
      <c r="K84" s="225"/>
      <c r="L84" s="226"/>
      <c r="M84" s="10"/>
    </row>
    <row r="85" spans="1:16" ht="14.1" customHeight="1" x14ac:dyDescent="0.25">
      <c r="B85" s="783" t="str">
        <f>D32</f>
        <v>Sans soudures</v>
      </c>
      <c r="C85" s="784"/>
      <c r="D85" s="784"/>
      <c r="E85" s="784"/>
      <c r="F85" s="785"/>
      <c r="G85" s="187" t="str">
        <f>IF(SUM(E58:G58,E62:G62,E66:G66,E70:G70,E74:G74)&gt;H45,Variables!$D$67,Variables!$D$68)</f>
        <v>Correct</v>
      </c>
      <c r="H85" s="187" t="str">
        <f>IF(SUM(H58:K58,H62:K62,H66:K66,H70:K70,H74:K74)&gt;I45,Variables!$D$67,Variables!$D$68)</f>
        <v>Correct</v>
      </c>
      <c r="I85" s="187" t="str">
        <f>IF(SUM(H58,H62,H66,H70,H74)&gt;J45,Variables!$D$67,Variables!$D$68)</f>
        <v>Correct</v>
      </c>
      <c r="J85" s="187" t="str">
        <f>IF(SUM(L58,L62,L66,L70,L74)&gt;K45,Variables!$D$67,Variables!$D$68)</f>
        <v>Correct</v>
      </c>
      <c r="K85" s="225"/>
      <c r="L85" s="226"/>
      <c r="M85" s="10"/>
    </row>
    <row r="86" spans="1:16" ht="14.1" customHeight="1" x14ac:dyDescent="0.25">
      <c r="B86" s="786" t="str">
        <f>IF(Intro!$G$20="English",O86,P86)</f>
        <v>valeur - total des ventes au Canada d'importations aux cinq principaux clients (Question 2)</v>
      </c>
      <c r="C86" s="787"/>
      <c r="D86" s="787"/>
      <c r="E86" s="787"/>
      <c r="F86" s="788"/>
      <c r="G86" s="187">
        <f>SUM(E58:G58,E62:G62,E66:G66,E70:G70,E74:G74)</f>
        <v>0</v>
      </c>
      <c r="H86" s="187">
        <f>SUM(H58:K58,H62:K62,H66:K66,H70:K70,H74:K74)</f>
        <v>0</v>
      </c>
      <c r="I86" s="187">
        <f>SUM(H58,H62,H66,H70,H74)</f>
        <v>0</v>
      </c>
      <c r="J86" s="187">
        <f>SUM(L58,L62,L66,L70,L74)</f>
        <v>0</v>
      </c>
      <c r="K86" s="225"/>
      <c r="L86" s="226"/>
      <c r="M86" s="10"/>
      <c r="O86" s="73" t="s">
        <v>445</v>
      </c>
      <c r="P86" s="10" t="s">
        <v>443</v>
      </c>
    </row>
    <row r="87" spans="1:16" ht="14.1" customHeight="1" x14ac:dyDescent="0.25">
      <c r="B87" s="786" t="str">
        <f>IF(Intro!$G$20="English",O87,P87)</f>
        <v>valeur - total des ventes au Canada d'importations (Question 1)</v>
      </c>
      <c r="C87" s="787"/>
      <c r="D87" s="787"/>
      <c r="E87" s="787"/>
      <c r="F87" s="788"/>
      <c r="G87" s="187">
        <f>H45</f>
        <v>0</v>
      </c>
      <c r="H87" s="187">
        <f>I45</f>
        <v>0</v>
      </c>
      <c r="I87" s="187">
        <f>J45</f>
        <v>0</v>
      </c>
      <c r="J87" s="187">
        <f>K45</f>
        <v>0</v>
      </c>
      <c r="K87" s="225"/>
      <c r="L87" s="226"/>
      <c r="M87" s="10"/>
      <c r="O87" s="10" t="s">
        <v>446</v>
      </c>
      <c r="P87" s="10" t="s">
        <v>444</v>
      </c>
    </row>
    <row r="88" spans="1:16" x14ac:dyDescent="0.25">
      <c r="B88" s="72"/>
      <c r="C88" s="82"/>
      <c r="D88" s="82"/>
      <c r="E88" s="82"/>
      <c r="F88" s="82"/>
      <c r="G88" s="82"/>
      <c r="H88" s="82"/>
      <c r="I88" s="82"/>
      <c r="J88" s="164"/>
      <c r="K88" s="164"/>
      <c r="L88" s="165"/>
      <c r="M88" s="10"/>
    </row>
    <row r="89" spans="1:16" s="207" customFormat="1" x14ac:dyDescent="0.25">
      <c r="A89" s="7"/>
      <c r="B89" s="31"/>
      <c r="C89" s="31"/>
      <c r="D89" s="89"/>
      <c r="E89" s="217"/>
      <c r="F89" s="217"/>
      <c r="G89" s="217"/>
      <c r="H89" s="217"/>
      <c r="I89" s="217"/>
      <c r="J89" s="217"/>
      <c r="K89" s="217"/>
      <c r="L89" s="217"/>
      <c r="M89" s="73"/>
    </row>
    <row r="90" spans="1:16" x14ac:dyDescent="0.25">
      <c r="B90" s="533" t="str">
        <f>IF(Intro!$G$20="English",O90,P90)</f>
        <v>IMPORTATIONS DE PRODUITS DE RÉFÉRENCE</v>
      </c>
      <c r="C90" s="534"/>
      <c r="D90" s="534"/>
      <c r="E90" s="534"/>
      <c r="F90" s="534"/>
      <c r="G90" s="534"/>
      <c r="H90" s="534"/>
      <c r="I90" s="534"/>
      <c r="J90" s="534"/>
      <c r="K90" s="534"/>
      <c r="L90" s="535"/>
      <c r="M90" s="10"/>
      <c r="O90" s="105" t="s">
        <v>332</v>
      </c>
      <c r="P90" s="105" t="s">
        <v>398</v>
      </c>
    </row>
    <row r="91" spans="1:16" x14ac:dyDescent="0.25">
      <c r="B91" s="671" t="s">
        <v>16</v>
      </c>
      <c r="C91" s="672"/>
      <c r="D91" s="672"/>
      <c r="E91" s="672"/>
      <c r="F91" s="672"/>
      <c r="G91" s="672"/>
      <c r="H91" s="672"/>
      <c r="I91" s="672"/>
      <c r="J91" s="672"/>
      <c r="K91" s="672"/>
      <c r="L91" s="673"/>
      <c r="M91" s="10"/>
    </row>
    <row r="92" spans="1:16" x14ac:dyDescent="0.25">
      <c r="B92" s="16"/>
      <c r="C92" s="35"/>
      <c r="D92" s="35"/>
      <c r="E92" s="36"/>
      <c r="F92" s="36"/>
      <c r="G92" s="36"/>
      <c r="H92" s="36"/>
      <c r="I92" s="36"/>
      <c r="J92" s="36"/>
      <c r="K92" s="36"/>
      <c r="L92" s="17"/>
      <c r="M92" s="10"/>
    </row>
    <row r="93" spans="1:16" x14ac:dyDescent="0.25">
      <c r="B93" s="530" t="str">
        <f>IF(Intro!$G$20="English",O93,P93)</f>
        <v>Indiquez le volume et la valeur des importations pour chaque produit de référence :</v>
      </c>
      <c r="C93" s="531"/>
      <c r="D93" s="531"/>
      <c r="E93" s="531"/>
      <c r="F93" s="531"/>
      <c r="G93" s="531"/>
      <c r="H93" s="531"/>
      <c r="I93" s="531"/>
      <c r="J93" s="531"/>
      <c r="K93" s="531"/>
      <c r="L93" s="532"/>
      <c r="M93" s="10"/>
      <c r="O93" s="18" t="s">
        <v>192</v>
      </c>
      <c r="P93" s="10" t="s">
        <v>193</v>
      </c>
    </row>
    <row r="94" spans="1:16" x14ac:dyDescent="0.25">
      <c r="B94" s="214"/>
      <c r="C94" s="215"/>
      <c r="D94" s="35"/>
      <c r="E94" s="36"/>
      <c r="F94" s="36"/>
      <c r="G94" s="36"/>
      <c r="H94" s="36"/>
      <c r="I94" s="36"/>
      <c r="J94" s="36"/>
      <c r="K94" s="36"/>
      <c r="L94" s="17"/>
      <c r="M94" s="10"/>
      <c r="O94" s="18"/>
    </row>
    <row r="95" spans="1:16" x14ac:dyDescent="0.25">
      <c r="B95" s="772"/>
      <c r="C95" s="773"/>
      <c r="D95" s="774"/>
      <c r="E95" s="218" t="str">
        <f t="shared" ref="E95:L95" si="12">E55</f>
        <v>T2 - 2024</v>
      </c>
      <c r="F95" s="218" t="str">
        <f t="shared" si="12"/>
        <v>T3 - 2024</v>
      </c>
      <c r="G95" s="218" t="str">
        <f t="shared" si="12"/>
        <v>T4 - 2024</v>
      </c>
      <c r="H95" s="218" t="str">
        <f t="shared" si="12"/>
        <v>T1 - 2025</v>
      </c>
      <c r="I95" s="218" t="str">
        <f t="shared" si="12"/>
        <v>T2 - 2025</v>
      </c>
      <c r="J95" s="218" t="str">
        <f t="shared" si="12"/>
        <v>T3 - 2025</v>
      </c>
      <c r="K95" s="218" t="str">
        <f t="shared" si="12"/>
        <v>T4 - 2025</v>
      </c>
      <c r="L95" s="219" t="str">
        <f t="shared" si="12"/>
        <v>T1 - 2026</v>
      </c>
      <c r="M95" s="10"/>
      <c r="O95" s="18"/>
    </row>
    <row r="96" spans="1:16" x14ac:dyDescent="0.25">
      <c r="B96" s="768" t="str">
        <f>IF(Intro!$G$20="English",Variables!B30,Variables!C30)</f>
        <v xml:space="preserve">Tubage sans soudure L80 (y compris les améliorations) avec raccord API </v>
      </c>
      <c r="C96" s="641"/>
      <c r="D96" s="641"/>
      <c r="E96" s="641"/>
      <c r="F96" s="641"/>
      <c r="G96" s="641"/>
      <c r="H96" s="641"/>
      <c r="I96" s="641"/>
      <c r="J96" s="641"/>
      <c r="K96" s="641"/>
      <c r="L96" s="769"/>
      <c r="M96" s="10"/>
    </row>
    <row r="97" spans="2:13" x14ac:dyDescent="0.25">
      <c r="B97" s="770"/>
      <c r="C97" s="647"/>
      <c r="D97" s="647"/>
      <c r="E97" s="647"/>
      <c r="F97" s="647"/>
      <c r="G97" s="647"/>
      <c r="H97" s="647"/>
      <c r="I97" s="647"/>
      <c r="J97" s="647"/>
      <c r="K97" s="647"/>
      <c r="L97" s="771"/>
      <c r="M97" s="10"/>
    </row>
    <row r="98" spans="2:13" x14ac:dyDescent="0.25">
      <c r="B98" s="747" t="str">
        <f>D$26</f>
        <v>tonnes</v>
      </c>
      <c r="C98" s="748"/>
      <c r="D98" s="748"/>
      <c r="E98" s="137"/>
      <c r="F98" s="137"/>
      <c r="G98" s="137"/>
      <c r="H98" s="137"/>
      <c r="I98" s="137"/>
      <c r="J98" s="137"/>
      <c r="K98" s="137"/>
      <c r="L98" s="138"/>
      <c r="M98" s="10"/>
    </row>
    <row r="99" spans="2:13" x14ac:dyDescent="0.25">
      <c r="B99" s="747" t="str">
        <f>D$27</f>
        <v>valeur d'achat nette rendue (CAD)</v>
      </c>
      <c r="C99" s="748"/>
      <c r="D99" s="748"/>
      <c r="E99" s="137"/>
      <c r="F99" s="137"/>
      <c r="G99" s="137"/>
      <c r="H99" s="137"/>
      <c r="I99" s="137"/>
      <c r="J99" s="137"/>
      <c r="K99" s="137"/>
      <c r="L99" s="138"/>
      <c r="M99" s="10"/>
    </row>
    <row r="100" spans="2:13" x14ac:dyDescent="0.25">
      <c r="B100" s="747" t="str">
        <f>D$28</f>
        <v>$ / tonne</v>
      </c>
      <c r="C100" s="748"/>
      <c r="D100" s="748"/>
      <c r="E100" s="151" t="str">
        <f t="shared" ref="E100:L100" si="13">IF(E98=0,"-",E99/E98)</f>
        <v>-</v>
      </c>
      <c r="F100" s="151" t="str">
        <f t="shared" si="13"/>
        <v>-</v>
      </c>
      <c r="G100" s="151" t="str">
        <f t="shared" si="13"/>
        <v>-</v>
      </c>
      <c r="H100" s="151" t="str">
        <f t="shared" si="13"/>
        <v>-</v>
      </c>
      <c r="I100" s="151" t="str">
        <f t="shared" si="13"/>
        <v>-</v>
      </c>
      <c r="J100" s="151" t="str">
        <f t="shared" si="13"/>
        <v>-</v>
      </c>
      <c r="K100" s="151" t="str">
        <f t="shared" si="13"/>
        <v>-</v>
      </c>
      <c r="L100" s="152" t="str">
        <f t="shared" si="13"/>
        <v>-</v>
      </c>
      <c r="M100" s="10"/>
    </row>
    <row r="101" spans="2:13" x14ac:dyDescent="0.25">
      <c r="B101" s="768" t="str">
        <f>IF(Intro!$G$20="English",Variables!B31,Variables!C31)</f>
        <v>Tubage soudé L80 (y compris les améliorations) avec raccord API</v>
      </c>
      <c r="C101" s="641"/>
      <c r="D101" s="641"/>
      <c r="E101" s="641"/>
      <c r="F101" s="641"/>
      <c r="G101" s="641"/>
      <c r="H101" s="641"/>
      <c r="I101" s="641"/>
      <c r="J101" s="641"/>
      <c r="K101" s="641"/>
      <c r="L101" s="769"/>
      <c r="M101" s="10"/>
    </row>
    <row r="102" spans="2:13" x14ac:dyDescent="0.25">
      <c r="B102" s="770"/>
      <c r="C102" s="647"/>
      <c r="D102" s="647"/>
      <c r="E102" s="647"/>
      <c r="F102" s="647"/>
      <c r="G102" s="647"/>
      <c r="H102" s="647"/>
      <c r="I102" s="647"/>
      <c r="J102" s="647"/>
      <c r="K102" s="647"/>
      <c r="L102" s="771"/>
      <c r="M102" s="10"/>
    </row>
    <row r="103" spans="2:13" x14ac:dyDescent="0.25">
      <c r="B103" s="747" t="str">
        <f>D$26</f>
        <v>tonnes</v>
      </c>
      <c r="C103" s="748"/>
      <c r="D103" s="748"/>
      <c r="E103" s="137"/>
      <c r="F103" s="137"/>
      <c r="G103" s="137"/>
      <c r="H103" s="137"/>
      <c r="I103" s="137"/>
      <c r="J103" s="137"/>
      <c r="K103" s="137"/>
      <c r="L103" s="138"/>
      <c r="M103" s="10"/>
    </row>
    <row r="104" spans="2:13" x14ac:dyDescent="0.25">
      <c r="B104" s="747" t="str">
        <f>D$27</f>
        <v>valeur d'achat nette rendue (CAD)</v>
      </c>
      <c r="C104" s="748"/>
      <c r="D104" s="748"/>
      <c r="E104" s="137"/>
      <c r="F104" s="137"/>
      <c r="G104" s="137"/>
      <c r="H104" s="137"/>
      <c r="I104" s="137"/>
      <c r="J104" s="137"/>
      <c r="K104" s="137"/>
      <c r="L104" s="138"/>
      <c r="M104" s="10"/>
    </row>
    <row r="105" spans="2:13" x14ac:dyDescent="0.25">
      <c r="B105" s="747" t="str">
        <f>D$28</f>
        <v>$ / tonne</v>
      </c>
      <c r="C105" s="748"/>
      <c r="D105" s="748"/>
      <c r="E105" s="151" t="str">
        <f t="shared" ref="E105:L105" si="14">IF(E103=0,"-",E104/E103)</f>
        <v>-</v>
      </c>
      <c r="F105" s="151" t="str">
        <f t="shared" si="14"/>
        <v>-</v>
      </c>
      <c r="G105" s="151" t="str">
        <f t="shared" si="14"/>
        <v>-</v>
      </c>
      <c r="H105" s="151" t="str">
        <f t="shared" si="14"/>
        <v>-</v>
      </c>
      <c r="I105" s="151" t="str">
        <f t="shared" si="14"/>
        <v>-</v>
      </c>
      <c r="J105" s="151" t="str">
        <f t="shared" si="14"/>
        <v>-</v>
      </c>
      <c r="K105" s="151" t="str">
        <f t="shared" si="14"/>
        <v>-</v>
      </c>
      <c r="L105" s="152" t="str">
        <f t="shared" si="14"/>
        <v>-</v>
      </c>
      <c r="M105" s="10"/>
    </row>
    <row r="106" spans="2:13" x14ac:dyDescent="0.25">
      <c r="B106" s="768" t="str">
        <f>IF(Intro!$G$20="English",Variables!B32,Variables!C32)</f>
        <v xml:space="preserve">Tubage sans soudure L80 (y compris les améliorations) avec raccord de qualité semi-supérieure </v>
      </c>
      <c r="C106" s="641"/>
      <c r="D106" s="641"/>
      <c r="E106" s="641"/>
      <c r="F106" s="641"/>
      <c r="G106" s="641"/>
      <c r="H106" s="641"/>
      <c r="I106" s="641"/>
      <c r="J106" s="641"/>
      <c r="K106" s="641"/>
      <c r="L106" s="769"/>
      <c r="M106" s="10"/>
    </row>
    <row r="107" spans="2:13" x14ac:dyDescent="0.25">
      <c r="B107" s="770"/>
      <c r="C107" s="647"/>
      <c r="D107" s="647"/>
      <c r="E107" s="647"/>
      <c r="F107" s="647"/>
      <c r="G107" s="647"/>
      <c r="H107" s="647"/>
      <c r="I107" s="647"/>
      <c r="J107" s="647"/>
      <c r="K107" s="647"/>
      <c r="L107" s="771"/>
      <c r="M107" s="10"/>
    </row>
    <row r="108" spans="2:13" x14ac:dyDescent="0.25">
      <c r="B108" s="747" t="str">
        <f>D$26</f>
        <v>tonnes</v>
      </c>
      <c r="C108" s="748"/>
      <c r="D108" s="748"/>
      <c r="E108" s="137"/>
      <c r="F108" s="137"/>
      <c r="G108" s="137"/>
      <c r="H108" s="137"/>
      <c r="I108" s="137"/>
      <c r="J108" s="137"/>
      <c r="K108" s="137"/>
      <c r="L108" s="138"/>
      <c r="M108" s="10"/>
    </row>
    <row r="109" spans="2:13" x14ac:dyDescent="0.25">
      <c r="B109" s="747" t="str">
        <f>D$27</f>
        <v>valeur d'achat nette rendue (CAD)</v>
      </c>
      <c r="C109" s="748"/>
      <c r="D109" s="748"/>
      <c r="E109" s="137"/>
      <c r="F109" s="137"/>
      <c r="G109" s="137"/>
      <c r="H109" s="137"/>
      <c r="I109" s="137"/>
      <c r="J109" s="137"/>
      <c r="K109" s="137"/>
      <c r="L109" s="138"/>
      <c r="M109" s="10"/>
    </row>
    <row r="110" spans="2:13" x14ac:dyDescent="0.25">
      <c r="B110" s="747" t="str">
        <f>D$28</f>
        <v>$ / tonne</v>
      </c>
      <c r="C110" s="748"/>
      <c r="D110" s="748"/>
      <c r="E110" s="151" t="str">
        <f t="shared" ref="E110:L110" si="15">IF(E108=0,"-",E109/E108)</f>
        <v>-</v>
      </c>
      <c r="F110" s="151" t="str">
        <f t="shared" si="15"/>
        <v>-</v>
      </c>
      <c r="G110" s="151" t="str">
        <f t="shared" si="15"/>
        <v>-</v>
      </c>
      <c r="H110" s="151" t="str">
        <f t="shared" si="15"/>
        <v>-</v>
      </c>
      <c r="I110" s="151" t="str">
        <f t="shared" si="15"/>
        <v>-</v>
      </c>
      <c r="J110" s="151" t="str">
        <f t="shared" si="15"/>
        <v>-</v>
      </c>
      <c r="K110" s="151" t="str">
        <f t="shared" si="15"/>
        <v>-</v>
      </c>
      <c r="L110" s="152" t="str">
        <f t="shared" si="15"/>
        <v>-</v>
      </c>
      <c r="M110" s="10"/>
    </row>
    <row r="111" spans="2:13" x14ac:dyDescent="0.25">
      <c r="B111" s="768" t="str">
        <f>IF(Intro!$G$20="English",Variables!B33,Variables!C33)</f>
        <v xml:space="preserve">Tubage soudé L80 (y compris les améliorations) avec raccord de qualité semi-supérieure </v>
      </c>
      <c r="C111" s="641"/>
      <c r="D111" s="641"/>
      <c r="E111" s="641"/>
      <c r="F111" s="641"/>
      <c r="G111" s="641"/>
      <c r="H111" s="641"/>
      <c r="I111" s="641"/>
      <c r="J111" s="641"/>
      <c r="K111" s="641"/>
      <c r="L111" s="769"/>
      <c r="M111" s="10"/>
    </row>
    <row r="112" spans="2:13" x14ac:dyDescent="0.25">
      <c r="B112" s="770"/>
      <c r="C112" s="647"/>
      <c r="D112" s="647"/>
      <c r="E112" s="647"/>
      <c r="F112" s="647"/>
      <c r="G112" s="647"/>
      <c r="H112" s="647"/>
      <c r="I112" s="647"/>
      <c r="J112" s="647"/>
      <c r="K112" s="647"/>
      <c r="L112" s="771"/>
      <c r="M112" s="10"/>
    </row>
    <row r="113" spans="2:13" x14ac:dyDescent="0.25">
      <c r="B113" s="747" t="str">
        <f>D$26</f>
        <v>tonnes</v>
      </c>
      <c r="C113" s="748"/>
      <c r="D113" s="748"/>
      <c r="E113" s="137"/>
      <c r="F113" s="137"/>
      <c r="G113" s="137"/>
      <c r="H113" s="137"/>
      <c r="I113" s="137"/>
      <c r="J113" s="137"/>
      <c r="K113" s="137"/>
      <c r="L113" s="138"/>
      <c r="M113" s="10"/>
    </row>
    <row r="114" spans="2:13" x14ac:dyDescent="0.25">
      <c r="B114" s="747" t="str">
        <f>D$27</f>
        <v>valeur d'achat nette rendue (CAD)</v>
      </c>
      <c r="C114" s="748"/>
      <c r="D114" s="748"/>
      <c r="E114" s="137"/>
      <c r="F114" s="137"/>
      <c r="G114" s="137"/>
      <c r="H114" s="137"/>
      <c r="I114" s="137"/>
      <c r="J114" s="137"/>
      <c r="K114" s="137"/>
      <c r="L114" s="138"/>
      <c r="M114" s="10"/>
    </row>
    <row r="115" spans="2:13" x14ac:dyDescent="0.25">
      <c r="B115" s="747" t="str">
        <f>D$28</f>
        <v>$ / tonne</v>
      </c>
      <c r="C115" s="748"/>
      <c r="D115" s="748"/>
      <c r="E115" s="151" t="str">
        <f t="shared" ref="E115:L115" si="16">IF(E113=0,"-",E114/E113)</f>
        <v>-</v>
      </c>
      <c r="F115" s="151" t="str">
        <f t="shared" si="16"/>
        <v>-</v>
      </c>
      <c r="G115" s="151" t="str">
        <f t="shared" si="16"/>
        <v>-</v>
      </c>
      <c r="H115" s="151" t="str">
        <f t="shared" si="16"/>
        <v>-</v>
      </c>
      <c r="I115" s="151" t="str">
        <f t="shared" si="16"/>
        <v>-</v>
      </c>
      <c r="J115" s="151" t="str">
        <f t="shared" si="16"/>
        <v>-</v>
      </c>
      <c r="K115" s="151" t="str">
        <f t="shared" si="16"/>
        <v>-</v>
      </c>
      <c r="L115" s="152" t="str">
        <f t="shared" si="16"/>
        <v>-</v>
      </c>
      <c r="M115" s="10"/>
    </row>
    <row r="116" spans="2:13" x14ac:dyDescent="0.25">
      <c r="B116" s="768" t="str">
        <f>IF(Intro!$G$20="English",Variables!B34,Variables!C34)</f>
        <v xml:space="preserve">Tubage sans soudure P110 (y compris les améliorations) avec raccord API </v>
      </c>
      <c r="C116" s="641"/>
      <c r="D116" s="641"/>
      <c r="E116" s="641"/>
      <c r="F116" s="641"/>
      <c r="G116" s="641"/>
      <c r="H116" s="641"/>
      <c r="I116" s="641"/>
      <c r="J116" s="641"/>
      <c r="K116" s="641"/>
      <c r="L116" s="769"/>
      <c r="M116" s="10"/>
    </row>
    <row r="117" spans="2:13" x14ac:dyDescent="0.25">
      <c r="B117" s="770"/>
      <c r="C117" s="647"/>
      <c r="D117" s="647"/>
      <c r="E117" s="647"/>
      <c r="F117" s="647"/>
      <c r="G117" s="647"/>
      <c r="H117" s="647"/>
      <c r="I117" s="647"/>
      <c r="J117" s="647"/>
      <c r="K117" s="647"/>
      <c r="L117" s="771"/>
      <c r="M117" s="10"/>
    </row>
    <row r="118" spans="2:13" x14ac:dyDescent="0.25">
      <c r="B118" s="747" t="str">
        <f>D$26</f>
        <v>tonnes</v>
      </c>
      <c r="C118" s="748"/>
      <c r="D118" s="748"/>
      <c r="E118" s="137"/>
      <c r="F118" s="137"/>
      <c r="G118" s="137"/>
      <c r="H118" s="137"/>
      <c r="I118" s="137"/>
      <c r="J118" s="137"/>
      <c r="K118" s="137"/>
      <c r="L118" s="138"/>
      <c r="M118" s="10"/>
    </row>
    <row r="119" spans="2:13" x14ac:dyDescent="0.25">
      <c r="B119" s="747" t="str">
        <f>D$27</f>
        <v>valeur d'achat nette rendue (CAD)</v>
      </c>
      <c r="C119" s="748"/>
      <c r="D119" s="748"/>
      <c r="E119" s="137"/>
      <c r="F119" s="137"/>
      <c r="G119" s="137"/>
      <c r="H119" s="137"/>
      <c r="I119" s="137"/>
      <c r="J119" s="137"/>
      <c r="K119" s="137"/>
      <c r="L119" s="138"/>
      <c r="M119" s="10"/>
    </row>
    <row r="120" spans="2:13" x14ac:dyDescent="0.25">
      <c r="B120" s="747" t="str">
        <f>D$28</f>
        <v>$ / tonne</v>
      </c>
      <c r="C120" s="748"/>
      <c r="D120" s="748"/>
      <c r="E120" s="151" t="str">
        <f t="shared" ref="E120:L120" si="17">IF(E118=0,"-",E119/E118)</f>
        <v>-</v>
      </c>
      <c r="F120" s="151" t="str">
        <f t="shared" si="17"/>
        <v>-</v>
      </c>
      <c r="G120" s="151" t="str">
        <f t="shared" si="17"/>
        <v>-</v>
      </c>
      <c r="H120" s="151" t="str">
        <f t="shared" si="17"/>
        <v>-</v>
      </c>
      <c r="I120" s="151" t="str">
        <f t="shared" si="17"/>
        <v>-</v>
      </c>
      <c r="J120" s="151" t="str">
        <f t="shared" si="17"/>
        <v>-</v>
      </c>
      <c r="K120" s="151" t="str">
        <f t="shared" si="17"/>
        <v>-</v>
      </c>
      <c r="L120" s="152" t="str">
        <f t="shared" si="17"/>
        <v>-</v>
      </c>
      <c r="M120" s="10"/>
    </row>
    <row r="121" spans="2:13" x14ac:dyDescent="0.25">
      <c r="B121" s="768" t="str">
        <f>IF(Intro!$G$20="English",Variables!B35,Variables!C35)</f>
        <v xml:space="preserve">Tubage soudé P110 (y compris les améliorations) avec raccord API </v>
      </c>
      <c r="C121" s="641"/>
      <c r="D121" s="641"/>
      <c r="E121" s="641"/>
      <c r="F121" s="641"/>
      <c r="G121" s="641"/>
      <c r="H121" s="641"/>
      <c r="I121" s="641"/>
      <c r="J121" s="641"/>
      <c r="K121" s="641"/>
      <c r="L121" s="769"/>
      <c r="M121" s="10"/>
    </row>
    <row r="122" spans="2:13" x14ac:dyDescent="0.25">
      <c r="B122" s="770"/>
      <c r="C122" s="647"/>
      <c r="D122" s="647"/>
      <c r="E122" s="647"/>
      <c r="F122" s="647"/>
      <c r="G122" s="647"/>
      <c r="H122" s="647"/>
      <c r="I122" s="647"/>
      <c r="J122" s="647"/>
      <c r="K122" s="647"/>
      <c r="L122" s="771"/>
      <c r="M122" s="10"/>
    </row>
    <row r="123" spans="2:13" x14ac:dyDescent="0.25">
      <c r="B123" s="747" t="str">
        <f>D$26</f>
        <v>tonnes</v>
      </c>
      <c r="C123" s="748"/>
      <c r="D123" s="748"/>
      <c r="E123" s="137"/>
      <c r="F123" s="137"/>
      <c r="G123" s="137"/>
      <c r="H123" s="137"/>
      <c r="I123" s="137"/>
      <c r="J123" s="137"/>
      <c r="K123" s="137"/>
      <c r="L123" s="138"/>
      <c r="M123" s="10"/>
    </row>
    <row r="124" spans="2:13" x14ac:dyDescent="0.25">
      <c r="B124" s="747" t="str">
        <f>D$27</f>
        <v>valeur d'achat nette rendue (CAD)</v>
      </c>
      <c r="C124" s="748"/>
      <c r="D124" s="748"/>
      <c r="E124" s="137"/>
      <c r="F124" s="137"/>
      <c r="G124" s="137"/>
      <c r="H124" s="137"/>
      <c r="I124" s="137"/>
      <c r="J124" s="137"/>
      <c r="K124" s="137"/>
      <c r="L124" s="138"/>
      <c r="M124" s="10"/>
    </row>
    <row r="125" spans="2:13" x14ac:dyDescent="0.25">
      <c r="B125" s="747" t="str">
        <f>D$28</f>
        <v>$ / tonne</v>
      </c>
      <c r="C125" s="748"/>
      <c r="D125" s="748"/>
      <c r="E125" s="151" t="str">
        <f t="shared" ref="E125:L125" si="18">IF(E123=0,"-",E124/E123)</f>
        <v>-</v>
      </c>
      <c r="F125" s="151" t="str">
        <f t="shared" si="18"/>
        <v>-</v>
      </c>
      <c r="G125" s="151" t="str">
        <f t="shared" si="18"/>
        <v>-</v>
      </c>
      <c r="H125" s="151" t="str">
        <f t="shared" si="18"/>
        <v>-</v>
      </c>
      <c r="I125" s="151" t="str">
        <f t="shared" si="18"/>
        <v>-</v>
      </c>
      <c r="J125" s="151" t="str">
        <f t="shared" si="18"/>
        <v>-</v>
      </c>
      <c r="K125" s="151" t="str">
        <f t="shared" si="18"/>
        <v>-</v>
      </c>
      <c r="L125" s="152" t="str">
        <f t="shared" si="18"/>
        <v>-</v>
      </c>
      <c r="M125" s="10"/>
    </row>
    <row r="126" spans="2:13" x14ac:dyDescent="0.25">
      <c r="B126" s="768" t="str">
        <f>IF(Intro!$G$20="English",Variables!B36,Variables!C36)</f>
        <v>Tubage sans soudure P110 (y compris les améliorations) avec raccord de qualité semi-supérieure</v>
      </c>
      <c r="C126" s="641"/>
      <c r="D126" s="641"/>
      <c r="E126" s="641"/>
      <c r="F126" s="641"/>
      <c r="G126" s="641"/>
      <c r="H126" s="641"/>
      <c r="I126" s="641"/>
      <c r="J126" s="641"/>
      <c r="K126" s="641"/>
      <c r="L126" s="769"/>
      <c r="M126" s="10"/>
    </row>
    <row r="127" spans="2:13" x14ac:dyDescent="0.25">
      <c r="B127" s="770"/>
      <c r="C127" s="647"/>
      <c r="D127" s="647"/>
      <c r="E127" s="647"/>
      <c r="F127" s="647"/>
      <c r="G127" s="647"/>
      <c r="H127" s="647"/>
      <c r="I127" s="647"/>
      <c r="J127" s="647"/>
      <c r="K127" s="647"/>
      <c r="L127" s="771"/>
      <c r="M127" s="10"/>
    </row>
    <row r="128" spans="2:13" x14ac:dyDescent="0.25">
      <c r="B128" s="747" t="str">
        <f>D$26</f>
        <v>tonnes</v>
      </c>
      <c r="C128" s="748"/>
      <c r="D128" s="748"/>
      <c r="E128" s="137"/>
      <c r="F128" s="137"/>
      <c r="G128" s="137"/>
      <c r="H128" s="137"/>
      <c r="I128" s="137"/>
      <c r="J128" s="137"/>
      <c r="K128" s="137"/>
      <c r="L128" s="138"/>
      <c r="M128" s="10"/>
    </row>
    <row r="129" spans="2:13" x14ac:dyDescent="0.25">
      <c r="B129" s="747" t="str">
        <f>D$27</f>
        <v>valeur d'achat nette rendue (CAD)</v>
      </c>
      <c r="C129" s="748"/>
      <c r="D129" s="748"/>
      <c r="E129" s="137"/>
      <c r="F129" s="137"/>
      <c r="G129" s="137"/>
      <c r="H129" s="137"/>
      <c r="I129" s="137"/>
      <c r="J129" s="137"/>
      <c r="K129" s="137"/>
      <c r="L129" s="138"/>
      <c r="M129" s="10"/>
    </row>
    <row r="130" spans="2:13" x14ac:dyDescent="0.25">
      <c r="B130" s="747" t="str">
        <f>D$28</f>
        <v>$ / tonne</v>
      </c>
      <c r="C130" s="748"/>
      <c r="D130" s="748"/>
      <c r="E130" s="151" t="str">
        <f t="shared" ref="E130:L130" si="19">IF(E128=0,"-",E129/E128)</f>
        <v>-</v>
      </c>
      <c r="F130" s="151" t="str">
        <f t="shared" si="19"/>
        <v>-</v>
      </c>
      <c r="G130" s="151" t="str">
        <f t="shared" si="19"/>
        <v>-</v>
      </c>
      <c r="H130" s="151" t="str">
        <f t="shared" si="19"/>
        <v>-</v>
      </c>
      <c r="I130" s="151" t="str">
        <f t="shared" si="19"/>
        <v>-</v>
      </c>
      <c r="J130" s="151" t="str">
        <f t="shared" si="19"/>
        <v>-</v>
      </c>
      <c r="K130" s="151" t="str">
        <f t="shared" si="19"/>
        <v>-</v>
      </c>
      <c r="L130" s="152" t="str">
        <f t="shared" si="19"/>
        <v>-</v>
      </c>
      <c r="M130" s="10"/>
    </row>
    <row r="131" spans="2:13" x14ac:dyDescent="0.25">
      <c r="B131" s="768" t="str">
        <f>IF(Intro!$G$20="English",Variables!B37,Variables!C37)</f>
        <v>Tubage soudé P110 (y compris les améliorations) avec raccord de qualité semi-supérieure</v>
      </c>
      <c r="C131" s="641"/>
      <c r="D131" s="641"/>
      <c r="E131" s="641"/>
      <c r="F131" s="641"/>
      <c r="G131" s="641"/>
      <c r="H131" s="641"/>
      <c r="I131" s="641"/>
      <c r="J131" s="641"/>
      <c r="K131" s="641"/>
      <c r="L131" s="769"/>
      <c r="M131" s="10"/>
    </row>
    <row r="132" spans="2:13" x14ac:dyDescent="0.25">
      <c r="B132" s="770"/>
      <c r="C132" s="647"/>
      <c r="D132" s="647"/>
      <c r="E132" s="647"/>
      <c r="F132" s="647"/>
      <c r="G132" s="647"/>
      <c r="H132" s="647"/>
      <c r="I132" s="647"/>
      <c r="J132" s="647"/>
      <c r="K132" s="647"/>
      <c r="L132" s="771"/>
      <c r="M132" s="10"/>
    </row>
    <row r="133" spans="2:13" x14ac:dyDescent="0.25">
      <c r="B133" s="747" t="str">
        <f>D$26</f>
        <v>tonnes</v>
      </c>
      <c r="C133" s="748"/>
      <c r="D133" s="748"/>
      <c r="E133" s="137"/>
      <c r="F133" s="137"/>
      <c r="G133" s="137"/>
      <c r="H133" s="137"/>
      <c r="I133" s="137"/>
      <c r="J133" s="137"/>
      <c r="K133" s="137"/>
      <c r="L133" s="138"/>
      <c r="M133" s="10"/>
    </row>
    <row r="134" spans="2:13" x14ac:dyDescent="0.25">
      <c r="B134" s="747" t="str">
        <f>D$27</f>
        <v>valeur d'achat nette rendue (CAD)</v>
      </c>
      <c r="C134" s="748"/>
      <c r="D134" s="748"/>
      <c r="E134" s="137"/>
      <c r="F134" s="137"/>
      <c r="G134" s="137"/>
      <c r="H134" s="137"/>
      <c r="I134" s="137"/>
      <c r="J134" s="137"/>
      <c r="K134" s="137"/>
      <c r="L134" s="138"/>
      <c r="M134" s="10"/>
    </row>
    <row r="135" spans="2:13" x14ac:dyDescent="0.25">
      <c r="B135" s="747" t="str">
        <f>D$28</f>
        <v>$ / tonne</v>
      </c>
      <c r="C135" s="748"/>
      <c r="D135" s="748"/>
      <c r="E135" s="151" t="str">
        <f t="shared" ref="E135:L135" si="20">IF(E133=0,"-",E134/E133)</f>
        <v>-</v>
      </c>
      <c r="F135" s="151" t="str">
        <f t="shared" si="20"/>
        <v>-</v>
      </c>
      <c r="G135" s="151" t="str">
        <f t="shared" si="20"/>
        <v>-</v>
      </c>
      <c r="H135" s="151" t="str">
        <f t="shared" si="20"/>
        <v>-</v>
      </c>
      <c r="I135" s="151" t="str">
        <f t="shared" si="20"/>
        <v>-</v>
      </c>
      <c r="J135" s="151" t="str">
        <f t="shared" si="20"/>
        <v>-</v>
      </c>
      <c r="K135" s="151" t="str">
        <f t="shared" si="20"/>
        <v>-</v>
      </c>
      <c r="L135" s="152" t="str">
        <f t="shared" si="20"/>
        <v>-</v>
      </c>
      <c r="M135" s="10"/>
    </row>
    <row r="136" spans="2:13" x14ac:dyDescent="0.25">
      <c r="B136" s="768" t="str">
        <f>IF(Intro!$G$20="English",Variables!B38,Variables!C38)</f>
        <v>Tubage sans soudure T95 (y compris les améliorations) avec raccord semi-supérieure</v>
      </c>
      <c r="C136" s="641"/>
      <c r="D136" s="641"/>
      <c r="E136" s="641"/>
      <c r="F136" s="641"/>
      <c r="G136" s="641"/>
      <c r="H136" s="641"/>
      <c r="I136" s="641"/>
      <c r="J136" s="641"/>
      <c r="K136" s="641"/>
      <c r="L136" s="769"/>
      <c r="M136" s="10"/>
    </row>
    <row r="137" spans="2:13" x14ac:dyDescent="0.25">
      <c r="B137" s="770"/>
      <c r="C137" s="647"/>
      <c r="D137" s="647"/>
      <c r="E137" s="647"/>
      <c r="F137" s="647"/>
      <c r="G137" s="647"/>
      <c r="H137" s="647"/>
      <c r="I137" s="647"/>
      <c r="J137" s="647"/>
      <c r="K137" s="647"/>
      <c r="L137" s="771"/>
      <c r="M137" s="10"/>
    </row>
    <row r="138" spans="2:13" x14ac:dyDescent="0.25">
      <c r="B138" s="747" t="str">
        <f>D$26</f>
        <v>tonnes</v>
      </c>
      <c r="C138" s="748"/>
      <c r="D138" s="748"/>
      <c r="E138" s="137"/>
      <c r="F138" s="137"/>
      <c r="G138" s="137"/>
      <c r="H138" s="137"/>
      <c r="I138" s="137"/>
      <c r="J138" s="137"/>
      <c r="K138" s="137"/>
      <c r="L138" s="138"/>
      <c r="M138" s="10"/>
    </row>
    <row r="139" spans="2:13" x14ac:dyDescent="0.25">
      <c r="B139" s="747" t="str">
        <f>D$27</f>
        <v>valeur d'achat nette rendue (CAD)</v>
      </c>
      <c r="C139" s="748"/>
      <c r="D139" s="748"/>
      <c r="E139" s="137"/>
      <c r="F139" s="137"/>
      <c r="G139" s="137"/>
      <c r="H139" s="137"/>
      <c r="I139" s="137"/>
      <c r="J139" s="137"/>
      <c r="K139" s="137"/>
      <c r="L139" s="138"/>
      <c r="M139" s="10"/>
    </row>
    <row r="140" spans="2:13" x14ac:dyDescent="0.25">
      <c r="B140" s="747" t="str">
        <f>D$28</f>
        <v>$ / tonne</v>
      </c>
      <c r="C140" s="748"/>
      <c r="D140" s="748"/>
      <c r="E140" s="151" t="str">
        <f t="shared" ref="E140:L140" si="21">IF(E138=0,"-",E139/E138)</f>
        <v>-</v>
      </c>
      <c r="F140" s="151" t="str">
        <f t="shared" si="21"/>
        <v>-</v>
      </c>
      <c r="G140" s="151" t="str">
        <f t="shared" si="21"/>
        <v>-</v>
      </c>
      <c r="H140" s="151" t="str">
        <f t="shared" si="21"/>
        <v>-</v>
      </c>
      <c r="I140" s="151" t="str">
        <f t="shared" si="21"/>
        <v>-</v>
      </c>
      <c r="J140" s="151" t="str">
        <f t="shared" si="21"/>
        <v>-</v>
      </c>
      <c r="K140" s="151" t="str">
        <f t="shared" si="21"/>
        <v>-</v>
      </c>
      <c r="L140" s="152" t="str">
        <f t="shared" si="21"/>
        <v>-</v>
      </c>
      <c r="M140" s="10"/>
    </row>
    <row r="141" spans="2:13" x14ac:dyDescent="0.25">
      <c r="B141" s="768" t="str">
        <f>IF(Intro!$G$20="English",Variables!B39,Variables!C39)</f>
        <v>Tubage sans soudure P110S (y compris les améliorations) ou nuance similaire pour milieux modérément acides avec raccord de qualité semi-supérieure</v>
      </c>
      <c r="C141" s="641"/>
      <c r="D141" s="641"/>
      <c r="E141" s="641"/>
      <c r="F141" s="641"/>
      <c r="G141" s="641"/>
      <c r="H141" s="641"/>
      <c r="I141" s="641"/>
      <c r="J141" s="641"/>
      <c r="K141" s="641"/>
      <c r="L141" s="769"/>
      <c r="M141" s="10"/>
    </row>
    <row r="142" spans="2:13" x14ac:dyDescent="0.25">
      <c r="B142" s="770"/>
      <c r="C142" s="647"/>
      <c r="D142" s="647"/>
      <c r="E142" s="647"/>
      <c r="F142" s="647"/>
      <c r="G142" s="647"/>
      <c r="H142" s="647"/>
      <c r="I142" s="647"/>
      <c r="J142" s="647"/>
      <c r="K142" s="647"/>
      <c r="L142" s="771"/>
      <c r="M142" s="10"/>
    </row>
    <row r="143" spans="2:13" x14ac:dyDescent="0.25">
      <c r="B143" s="747" t="str">
        <f>D$26</f>
        <v>tonnes</v>
      </c>
      <c r="C143" s="748"/>
      <c r="D143" s="748"/>
      <c r="E143" s="137"/>
      <c r="F143" s="137"/>
      <c r="G143" s="137"/>
      <c r="H143" s="137"/>
      <c r="I143" s="137"/>
      <c r="J143" s="137"/>
      <c r="K143" s="137"/>
      <c r="L143" s="138"/>
      <c r="M143" s="10"/>
    </row>
    <row r="144" spans="2:13" x14ac:dyDescent="0.25">
      <c r="B144" s="747" t="str">
        <f>D$27</f>
        <v>valeur d'achat nette rendue (CAD)</v>
      </c>
      <c r="C144" s="748"/>
      <c r="D144" s="748"/>
      <c r="E144" s="137"/>
      <c r="F144" s="137"/>
      <c r="G144" s="137"/>
      <c r="H144" s="137"/>
      <c r="I144" s="137"/>
      <c r="J144" s="137"/>
      <c r="K144" s="137"/>
      <c r="L144" s="138"/>
      <c r="M144" s="10"/>
    </row>
    <row r="145" spans="1:19" x14ac:dyDescent="0.25">
      <c r="B145" s="747" t="str">
        <f>D$28</f>
        <v>$ / tonne</v>
      </c>
      <c r="C145" s="748"/>
      <c r="D145" s="748"/>
      <c r="E145" s="151" t="str">
        <f t="shared" ref="E145:L145" si="22">IF(E143=0,"-",E144/E143)</f>
        <v>-</v>
      </c>
      <c r="F145" s="151" t="str">
        <f t="shared" si="22"/>
        <v>-</v>
      </c>
      <c r="G145" s="151" t="str">
        <f t="shared" si="22"/>
        <v>-</v>
      </c>
      <c r="H145" s="151" t="str">
        <f t="shared" si="22"/>
        <v>-</v>
      </c>
      <c r="I145" s="151" t="str">
        <f t="shared" si="22"/>
        <v>-</v>
      </c>
      <c r="J145" s="151" t="str">
        <f t="shared" si="22"/>
        <v>-</v>
      </c>
      <c r="K145" s="151" t="str">
        <f t="shared" si="22"/>
        <v>-</v>
      </c>
      <c r="L145" s="152" t="str">
        <f t="shared" si="22"/>
        <v>-</v>
      </c>
      <c r="M145" s="10"/>
    </row>
    <row r="146" spans="1:19" x14ac:dyDescent="0.25">
      <c r="B146" s="260"/>
      <c r="C146" s="261"/>
      <c r="D146" s="261"/>
      <c r="E146" s="29"/>
      <c r="F146" s="29"/>
      <c r="G146" s="29"/>
      <c r="H146" s="29"/>
      <c r="I146" s="29"/>
      <c r="J146" s="29"/>
      <c r="K146" s="29"/>
      <c r="L146" s="30"/>
      <c r="M146" s="10"/>
    </row>
    <row r="147" spans="1:19" x14ac:dyDescent="0.25">
      <c r="B147" s="530" t="str">
        <f>IF(Intro!$G$20="English",O147,P147)</f>
        <v>Dans le tableau ci-dessous, « Erreur » signifie que les importations totales des produits de référence de votre entreprise dépassent les importations totales de votre entreprise pour cette période. Par conséquent, veuillez modifier les données ci-dessus si nécessaire.</v>
      </c>
      <c r="C147" s="531"/>
      <c r="D147" s="531"/>
      <c r="E147" s="531"/>
      <c r="F147" s="531"/>
      <c r="G147" s="531"/>
      <c r="H147" s="531"/>
      <c r="I147" s="531"/>
      <c r="J147" s="531"/>
      <c r="K147" s="531"/>
      <c r="L147" s="532"/>
      <c r="M147" s="10"/>
      <c r="O147" s="10" t="s">
        <v>361</v>
      </c>
      <c r="P147" s="10" t="s">
        <v>362</v>
      </c>
      <c r="S147" s="38"/>
    </row>
    <row r="148" spans="1:19" x14ac:dyDescent="0.25">
      <c r="B148" s="530"/>
      <c r="C148" s="531"/>
      <c r="D148" s="531"/>
      <c r="E148" s="531"/>
      <c r="F148" s="531"/>
      <c r="G148" s="531"/>
      <c r="H148" s="531"/>
      <c r="I148" s="531"/>
      <c r="J148" s="531"/>
      <c r="K148" s="531"/>
      <c r="L148" s="532"/>
      <c r="M148" s="10"/>
      <c r="S148" s="38"/>
    </row>
    <row r="149" spans="1:19" x14ac:dyDescent="0.25">
      <c r="B149" s="214"/>
      <c r="C149" s="215"/>
      <c r="D149" s="215"/>
      <c r="E149" s="29"/>
      <c r="F149" s="29"/>
      <c r="G149" s="29"/>
      <c r="H149" s="29"/>
      <c r="I149" s="29"/>
      <c r="J149" s="29"/>
      <c r="K149" s="29"/>
      <c r="L149" s="30"/>
      <c r="M149" s="10"/>
      <c r="S149" s="38"/>
    </row>
    <row r="150" spans="1:19" ht="14.1" customHeight="1" x14ac:dyDescent="0.25">
      <c r="B150" s="760" t="str">
        <f>Variables!D66</f>
        <v>Vérification - volume</v>
      </c>
      <c r="C150" s="761"/>
      <c r="D150" s="761"/>
      <c r="E150" s="761"/>
      <c r="F150" s="762"/>
      <c r="G150" s="218">
        <f>G80</f>
        <v>2024</v>
      </c>
      <c r="H150" s="218">
        <f>H80</f>
        <v>2025</v>
      </c>
      <c r="I150" s="218" t="str">
        <f>I80</f>
        <v>janv.-mars 2025</v>
      </c>
      <c r="J150" s="218" t="str">
        <f>J80</f>
        <v>janv.-mars 2026</v>
      </c>
      <c r="K150" s="225"/>
      <c r="L150" s="226"/>
      <c r="M150" s="10"/>
    </row>
    <row r="151" spans="1:19" ht="14.1" customHeight="1" x14ac:dyDescent="0.25">
      <c r="B151" s="789" t="str">
        <f>B98</f>
        <v>tonnes</v>
      </c>
      <c r="C151" s="790"/>
      <c r="D151" s="790"/>
      <c r="E151" s="790"/>
      <c r="F151" s="791"/>
      <c r="G151" s="187" t="str">
        <f>IF(SUM(E98:G98,E103:G103,E108:G108,E113:G113,E118:G118,E123:G123,E128:G128,E133:G133,E138:G138,E143:G143)&gt;H26,Variables!$D$67,Variables!$D$68)</f>
        <v>Correct</v>
      </c>
      <c r="H151" s="187" t="str">
        <f>IF(SUM(H98:K98,H103:K103,H108:K108,H113:K113,H118:K118,H123:K123,H128:K128,H133:K133,H138:K138,H143:K143)&gt;I26,Variables!$D$67,Variables!$D$68)</f>
        <v>Correct</v>
      </c>
      <c r="I151" s="187" t="str">
        <f>IF(SUM(H98,H103,H108,H113,H118,H123,H128,H133,H138,H143)&gt;J26,Variables!$D$67,Variables!$D$68)</f>
        <v>Correct</v>
      </c>
      <c r="J151" s="187" t="str">
        <f>IF(SUM(L98,L103,L108,L113,L118,L123,L128,L133,L138,L143)&gt;K26,Variables!$D$67,Variables!$D$68)</f>
        <v>Correct</v>
      </c>
      <c r="K151" s="225"/>
      <c r="L151" s="226"/>
      <c r="M151" s="10"/>
    </row>
    <row r="152" spans="1:19" ht="14.1" customHeight="1" x14ac:dyDescent="0.25">
      <c r="B152" s="763" t="str">
        <f>IF(Intro!$G$20="English",O152,P152)</f>
        <v>volume - total des importations des produits de référence (Question 3)</v>
      </c>
      <c r="C152" s="764"/>
      <c r="D152" s="764"/>
      <c r="E152" s="764"/>
      <c r="F152" s="765"/>
      <c r="G152" s="187">
        <f>SUM(E98:G98,E103:G103,E108:G108,E113:G113,E118:G118,E123:G123,E128:G128,E133:G133,E138:G138,E143:G143)</f>
        <v>0</v>
      </c>
      <c r="H152" s="187">
        <f>SUM(H98:K98,H103:K103,H108:K108,H113:K113,H118:K118,H123:K123,H128:K128,H133:K133,H138:K138,H143:K143)</f>
        <v>0</v>
      </c>
      <c r="I152" s="187">
        <f>SUM(H98,H103,H108,H113,H118,H123,H128,H133,H138,H143)</f>
        <v>0</v>
      </c>
      <c r="J152" s="187">
        <f>SUM(L98,L103,L108,L113,L118,L123,L128,L133,L138,L143)</f>
        <v>0</v>
      </c>
      <c r="K152" s="225"/>
      <c r="L152" s="226"/>
      <c r="M152" s="10"/>
      <c r="O152" s="10" t="s">
        <v>431</v>
      </c>
      <c r="P152" s="10" t="s">
        <v>432</v>
      </c>
    </row>
    <row r="153" spans="1:19" ht="14.1" customHeight="1" x14ac:dyDescent="0.25">
      <c r="B153" s="763" t="str">
        <f>IF(Intro!$G$20="English",O153,P153)</f>
        <v>volume - total des importations (Question 1)</v>
      </c>
      <c r="C153" s="764"/>
      <c r="D153" s="764"/>
      <c r="E153" s="764"/>
      <c r="F153" s="765"/>
      <c r="G153" s="187">
        <f>H26</f>
        <v>0</v>
      </c>
      <c r="H153" s="187">
        <f>I26</f>
        <v>0</v>
      </c>
      <c r="I153" s="187">
        <f>J26</f>
        <v>0</v>
      </c>
      <c r="J153" s="187">
        <f>K26</f>
        <v>0</v>
      </c>
      <c r="K153" s="225"/>
      <c r="L153" s="226"/>
      <c r="M153" s="10"/>
      <c r="O153" s="10" t="s">
        <v>433</v>
      </c>
      <c r="P153" s="10" t="s">
        <v>434</v>
      </c>
    </row>
    <row r="154" spans="1:19" x14ac:dyDescent="0.25">
      <c r="B154" s="760" t="str">
        <f>Variables!D70</f>
        <v>Vérification - valeur</v>
      </c>
      <c r="C154" s="761"/>
      <c r="D154" s="761"/>
      <c r="E154" s="761"/>
      <c r="F154" s="762"/>
      <c r="G154" s="218">
        <f>G150</f>
        <v>2024</v>
      </c>
      <c r="H154" s="218">
        <f>H150</f>
        <v>2025</v>
      </c>
      <c r="I154" s="218" t="str">
        <f>I150</f>
        <v>janv.-mars 2025</v>
      </c>
      <c r="J154" s="218" t="str">
        <f>J150</f>
        <v>janv.-mars 2026</v>
      </c>
      <c r="K154" s="225"/>
      <c r="L154" s="226"/>
      <c r="M154" s="10"/>
    </row>
    <row r="155" spans="1:19" ht="14.1" customHeight="1" x14ac:dyDescent="0.25">
      <c r="B155" s="789" t="str">
        <f>B99</f>
        <v>valeur d'achat nette rendue (CAD)</v>
      </c>
      <c r="C155" s="790"/>
      <c r="D155" s="790"/>
      <c r="E155" s="790"/>
      <c r="F155" s="791"/>
      <c r="G155" s="187" t="str">
        <f>IF(SUM(E99:G99,E104:G104,E109:G109,E114:G114,E119:G119,E124:G124,E129:G129,E134:G134,E139:G139,E144:G144)&gt;H27,Variables!$D$67,Variables!$D$68)</f>
        <v>Correct</v>
      </c>
      <c r="H155" s="187" t="str">
        <f>IF(SUM(H99:K99,H104:K104,H109:K109,H114:K114,H119:K119,H124:K124,H129:K129,H134:K134,H139:K139,H144:K144)&gt;I27,Variables!$D$67,Variables!$D$68)</f>
        <v>Correct</v>
      </c>
      <c r="I155" s="187" t="str">
        <f>IF(SUM(H99,H104,H109,H114,H119,H124,H129,H134,H139,H144)&gt;J27,Variables!$D$67,Variables!$D$68)</f>
        <v>Correct</v>
      </c>
      <c r="J155" s="187" t="str">
        <f>IF(SUM(L99,L104,L109,L114,L119,L124,L129,L134,L139,L144)&gt;K27,Variables!$D$67,Variables!$D$68)</f>
        <v>Correct</v>
      </c>
      <c r="K155" s="225"/>
      <c r="L155" s="226"/>
      <c r="M155" s="10"/>
    </row>
    <row r="156" spans="1:19" ht="14.1" customHeight="1" x14ac:dyDescent="0.25">
      <c r="B156" s="763" t="str">
        <f>IF(Intro!$G$20="English",O156,P156)</f>
        <v>valeur - total des importations des produits de référence (Question 3)</v>
      </c>
      <c r="C156" s="764"/>
      <c r="D156" s="764"/>
      <c r="E156" s="764"/>
      <c r="F156" s="765"/>
      <c r="G156" s="187">
        <f>SUM(E99:G99,E104:G104,E109:G109,E114:G114,E119:G119,E124:G124,E129:G129,E134:G134,E139:G139,E144:G144)</f>
        <v>0</v>
      </c>
      <c r="H156" s="187">
        <f>SUM(H99:K99,H104:K104,H109:K109,H114:K114,H119:K119,H124:K124,H129:K129,H134:K134,H139:K139,H144:K144)</f>
        <v>0</v>
      </c>
      <c r="I156" s="187">
        <f>SUM(H99,H104,H109,H114,H119,H124,H129,H134,H139,H144)</f>
        <v>0</v>
      </c>
      <c r="J156" s="187">
        <f>SUM(L99,L104,L109,L114,L119,L124,L129,L134,L139,L144)</f>
        <v>0</v>
      </c>
      <c r="K156" s="225"/>
      <c r="L156" s="226"/>
      <c r="M156" s="10"/>
      <c r="O156" s="10" t="s">
        <v>435</v>
      </c>
      <c r="P156" s="10" t="s">
        <v>436</v>
      </c>
    </row>
    <row r="157" spans="1:19" ht="14.1" customHeight="1" x14ac:dyDescent="0.25">
      <c r="B157" s="763" t="str">
        <f>IF(Intro!$G$20="English",O157,P157)</f>
        <v>valeur - total des importations (Question 1)</v>
      </c>
      <c r="C157" s="764"/>
      <c r="D157" s="764"/>
      <c r="E157" s="764"/>
      <c r="F157" s="765"/>
      <c r="G157" s="187">
        <f>H27</f>
        <v>0</v>
      </c>
      <c r="H157" s="187">
        <f>I27</f>
        <v>0</v>
      </c>
      <c r="I157" s="187">
        <f>J27</f>
        <v>0</v>
      </c>
      <c r="J157" s="187">
        <f>K27</f>
        <v>0</v>
      </c>
      <c r="K157" s="225"/>
      <c r="L157" s="226"/>
      <c r="M157" s="10"/>
      <c r="O157" s="10" t="s">
        <v>437</v>
      </c>
      <c r="P157" s="10" t="s">
        <v>438</v>
      </c>
    </row>
    <row r="158" spans="1:19" x14ac:dyDescent="0.25">
      <c r="B158" s="72"/>
      <c r="C158" s="82"/>
      <c r="D158" s="82"/>
      <c r="E158" s="82"/>
      <c r="F158" s="82"/>
      <c r="G158" s="82"/>
      <c r="H158" s="82"/>
      <c r="I158" s="82"/>
      <c r="J158" s="82"/>
      <c r="K158" s="82"/>
      <c r="L158" s="83"/>
      <c r="M158" s="10"/>
    </row>
    <row r="159" spans="1:19" s="207" customFormat="1" x14ac:dyDescent="0.25">
      <c r="A159" s="7"/>
      <c r="B159" s="91"/>
      <c r="C159" s="91"/>
      <c r="D159" s="89"/>
      <c r="E159" s="217"/>
      <c r="F159" s="217"/>
      <c r="G159" s="217"/>
      <c r="H159" s="217"/>
      <c r="I159" s="217"/>
      <c r="J159" s="217"/>
      <c r="K159" s="217"/>
      <c r="L159" s="217"/>
      <c r="M159" s="73"/>
    </row>
    <row r="160" spans="1:19" x14ac:dyDescent="0.25">
      <c r="B160" s="533" t="str">
        <f>IF(Intro!$G$20="English",O160,P160)</f>
        <v>VENTES AU CANADA D'IMPORTATIONS DE PRODUITS DE RÉFÉRENCE</v>
      </c>
      <c r="C160" s="534"/>
      <c r="D160" s="534"/>
      <c r="E160" s="534"/>
      <c r="F160" s="534"/>
      <c r="G160" s="534"/>
      <c r="H160" s="534"/>
      <c r="I160" s="534"/>
      <c r="J160" s="534"/>
      <c r="K160" s="534"/>
      <c r="L160" s="535"/>
      <c r="M160" s="10"/>
      <c r="O160" s="105" t="s">
        <v>336</v>
      </c>
      <c r="P160" s="105" t="s">
        <v>400</v>
      </c>
    </row>
    <row r="161" spans="2:16" x14ac:dyDescent="0.25">
      <c r="B161" s="671" t="s">
        <v>17</v>
      </c>
      <c r="C161" s="672"/>
      <c r="D161" s="672"/>
      <c r="E161" s="672"/>
      <c r="F161" s="672"/>
      <c r="G161" s="672"/>
      <c r="H161" s="672"/>
      <c r="I161" s="672"/>
      <c r="J161" s="672"/>
      <c r="K161" s="672"/>
      <c r="L161" s="673"/>
      <c r="M161" s="10"/>
    </row>
    <row r="162" spans="2:16" x14ac:dyDescent="0.25">
      <c r="B162" s="16"/>
      <c r="C162" s="35"/>
      <c r="D162" s="35"/>
      <c r="E162" s="36"/>
      <c r="F162" s="36"/>
      <c r="G162" s="36"/>
      <c r="H162" s="36"/>
      <c r="I162" s="36"/>
      <c r="J162" s="36"/>
      <c r="K162" s="36"/>
      <c r="L162" s="17"/>
      <c r="M162" s="10"/>
    </row>
    <row r="163" spans="2:16" x14ac:dyDescent="0.25">
      <c r="B163" s="530" t="str">
        <f>IF(Intro!$G$20="English",O163,P163)</f>
        <v>Indiquez le volume et la valeur des ventes d'importations au Canada pour chaque produit de référence :</v>
      </c>
      <c r="C163" s="531"/>
      <c r="D163" s="531"/>
      <c r="E163" s="531"/>
      <c r="F163" s="531"/>
      <c r="G163" s="531"/>
      <c r="H163" s="531"/>
      <c r="I163" s="531"/>
      <c r="J163" s="531"/>
      <c r="K163" s="531"/>
      <c r="L163" s="532"/>
      <c r="M163" s="10"/>
      <c r="O163" s="18" t="s">
        <v>171</v>
      </c>
      <c r="P163" s="10" t="s">
        <v>399</v>
      </c>
    </row>
    <row r="164" spans="2:16" x14ac:dyDescent="0.25">
      <c r="B164" s="530" t="str">
        <f>Pro!B22</f>
        <v>Note - Ne répondez à cette question que si votre entreprise a vendu les marchandises du 1er janvier 2023 au 31 mars 2026.</v>
      </c>
      <c r="C164" s="531"/>
      <c r="D164" s="531"/>
      <c r="E164" s="531"/>
      <c r="F164" s="531"/>
      <c r="G164" s="531"/>
      <c r="H164" s="531"/>
      <c r="I164" s="531"/>
      <c r="J164" s="531"/>
      <c r="K164" s="531"/>
      <c r="L164" s="532"/>
      <c r="M164" s="10"/>
      <c r="O164" s="18"/>
    </row>
    <row r="165" spans="2:16" x14ac:dyDescent="0.25">
      <c r="B165" s="214"/>
      <c r="C165" s="215"/>
      <c r="D165" s="35"/>
      <c r="E165" s="36"/>
      <c r="F165" s="36"/>
      <c r="G165" s="36"/>
      <c r="H165" s="36"/>
      <c r="I165" s="36"/>
      <c r="J165" s="36"/>
      <c r="K165" s="36"/>
      <c r="L165" s="17"/>
      <c r="M165" s="10"/>
      <c r="O165" s="18"/>
    </row>
    <row r="166" spans="2:16" x14ac:dyDescent="0.25">
      <c r="B166" s="772"/>
      <c r="C166" s="773"/>
      <c r="D166" s="774"/>
      <c r="E166" s="218" t="str">
        <f t="shared" ref="E166:L166" si="23">E95</f>
        <v>T2 - 2024</v>
      </c>
      <c r="F166" s="218" t="str">
        <f t="shared" si="23"/>
        <v>T3 - 2024</v>
      </c>
      <c r="G166" s="218" t="str">
        <f t="shared" si="23"/>
        <v>T4 - 2024</v>
      </c>
      <c r="H166" s="218" t="str">
        <f t="shared" si="23"/>
        <v>T1 - 2025</v>
      </c>
      <c r="I166" s="218" t="str">
        <f t="shared" si="23"/>
        <v>T2 - 2025</v>
      </c>
      <c r="J166" s="218" t="str">
        <f t="shared" si="23"/>
        <v>T3 - 2025</v>
      </c>
      <c r="K166" s="218" t="str">
        <f t="shared" si="23"/>
        <v>T4 - 2025</v>
      </c>
      <c r="L166" s="219" t="str">
        <f t="shared" si="23"/>
        <v>T1 - 2026</v>
      </c>
      <c r="M166" s="10"/>
      <c r="O166" s="18"/>
    </row>
    <row r="167" spans="2:16" x14ac:dyDescent="0.25">
      <c r="B167" s="768" t="str">
        <f>B96</f>
        <v xml:space="preserve">Tubage sans soudure L80 (y compris les améliorations) avec raccord API </v>
      </c>
      <c r="C167" s="641"/>
      <c r="D167" s="641"/>
      <c r="E167" s="641"/>
      <c r="F167" s="641"/>
      <c r="G167" s="641"/>
      <c r="H167" s="641"/>
      <c r="I167" s="641"/>
      <c r="J167" s="641"/>
      <c r="K167" s="641"/>
      <c r="L167" s="769"/>
      <c r="M167" s="10"/>
    </row>
    <row r="168" spans="2:16" x14ac:dyDescent="0.25">
      <c r="B168" s="770"/>
      <c r="C168" s="647"/>
      <c r="D168" s="647"/>
      <c r="E168" s="647"/>
      <c r="F168" s="647"/>
      <c r="G168" s="647"/>
      <c r="H168" s="647"/>
      <c r="I168" s="647"/>
      <c r="J168" s="647"/>
      <c r="K168" s="647"/>
      <c r="L168" s="771"/>
      <c r="M168" s="10"/>
    </row>
    <row r="169" spans="2:16" x14ac:dyDescent="0.25">
      <c r="B169" s="747" t="str">
        <f>D$31</f>
        <v>tonnes</v>
      </c>
      <c r="C169" s="748"/>
      <c r="D169" s="748"/>
      <c r="E169" s="137"/>
      <c r="F169" s="137"/>
      <c r="G169" s="137"/>
      <c r="H169" s="137"/>
      <c r="I169" s="137"/>
      <c r="J169" s="137"/>
      <c r="K169" s="137"/>
      <c r="L169" s="138"/>
      <c r="M169" s="10"/>
    </row>
    <row r="170" spans="2:16" x14ac:dyDescent="0.25">
      <c r="B170" s="747" t="str">
        <f>D$32</f>
        <v>Sans soudures</v>
      </c>
      <c r="C170" s="748"/>
      <c r="D170" s="748"/>
      <c r="E170" s="137"/>
      <c r="F170" s="137"/>
      <c r="G170" s="137"/>
      <c r="H170" s="137"/>
      <c r="I170" s="137"/>
      <c r="J170" s="137"/>
      <c r="K170" s="137"/>
      <c r="L170" s="138"/>
      <c r="M170" s="10"/>
    </row>
    <row r="171" spans="2:16" x14ac:dyDescent="0.25">
      <c r="B171" s="747" t="str">
        <f>D$33</f>
        <v>$ / tonne</v>
      </c>
      <c r="C171" s="748"/>
      <c r="D171" s="748"/>
      <c r="E171" s="151" t="str">
        <f t="shared" ref="E171:L171" si="24">IF(E169=0,"-",E170/E169)</f>
        <v>-</v>
      </c>
      <c r="F171" s="151" t="str">
        <f t="shared" si="24"/>
        <v>-</v>
      </c>
      <c r="G171" s="151" t="str">
        <f t="shared" si="24"/>
        <v>-</v>
      </c>
      <c r="H171" s="151" t="str">
        <f t="shared" si="24"/>
        <v>-</v>
      </c>
      <c r="I171" s="151" t="str">
        <f t="shared" si="24"/>
        <v>-</v>
      </c>
      <c r="J171" s="151" t="str">
        <f t="shared" si="24"/>
        <v>-</v>
      </c>
      <c r="K171" s="151" t="str">
        <f t="shared" si="24"/>
        <v>-</v>
      </c>
      <c r="L171" s="152" t="str">
        <f t="shared" si="24"/>
        <v>-</v>
      </c>
      <c r="M171" s="10"/>
    </row>
    <row r="172" spans="2:16" x14ac:dyDescent="0.25">
      <c r="B172" s="768" t="str">
        <f>B101</f>
        <v>Tubage soudé L80 (y compris les améliorations) avec raccord API</v>
      </c>
      <c r="C172" s="641"/>
      <c r="D172" s="641"/>
      <c r="E172" s="641"/>
      <c r="F172" s="641"/>
      <c r="G172" s="641"/>
      <c r="H172" s="641"/>
      <c r="I172" s="641"/>
      <c r="J172" s="641"/>
      <c r="K172" s="641"/>
      <c r="L172" s="769"/>
      <c r="M172" s="10"/>
    </row>
    <row r="173" spans="2:16" x14ac:dyDescent="0.25">
      <c r="B173" s="770"/>
      <c r="C173" s="647"/>
      <c r="D173" s="647"/>
      <c r="E173" s="647"/>
      <c r="F173" s="647"/>
      <c r="G173" s="647"/>
      <c r="H173" s="647"/>
      <c r="I173" s="647"/>
      <c r="J173" s="647"/>
      <c r="K173" s="647"/>
      <c r="L173" s="771"/>
      <c r="M173" s="10"/>
    </row>
    <row r="174" spans="2:16" x14ac:dyDescent="0.25">
      <c r="B174" s="747" t="str">
        <f>D$31</f>
        <v>tonnes</v>
      </c>
      <c r="C174" s="748"/>
      <c r="D174" s="748"/>
      <c r="E174" s="137"/>
      <c r="F174" s="137"/>
      <c r="G174" s="137"/>
      <c r="H174" s="137"/>
      <c r="I174" s="137"/>
      <c r="J174" s="137"/>
      <c r="K174" s="137"/>
      <c r="L174" s="138"/>
      <c r="M174" s="10"/>
    </row>
    <row r="175" spans="2:16" x14ac:dyDescent="0.25">
      <c r="B175" s="747" t="str">
        <f>D$32</f>
        <v>Sans soudures</v>
      </c>
      <c r="C175" s="748"/>
      <c r="D175" s="748"/>
      <c r="E175" s="137"/>
      <c r="F175" s="137"/>
      <c r="G175" s="137"/>
      <c r="H175" s="137"/>
      <c r="I175" s="137"/>
      <c r="J175" s="137"/>
      <c r="K175" s="137"/>
      <c r="L175" s="138"/>
      <c r="M175" s="10"/>
    </row>
    <row r="176" spans="2:16" x14ac:dyDescent="0.25">
      <c r="B176" s="747" t="str">
        <f>D$33</f>
        <v>$ / tonne</v>
      </c>
      <c r="C176" s="748"/>
      <c r="D176" s="748"/>
      <c r="E176" s="151" t="str">
        <f>IF(E174=0,"-",E175/E174)</f>
        <v>-</v>
      </c>
      <c r="F176" s="151" t="str">
        <f t="shared" ref="F176:L176" si="25">IF(F174=0,"-",F175/F174)</f>
        <v>-</v>
      </c>
      <c r="G176" s="151" t="str">
        <f t="shared" si="25"/>
        <v>-</v>
      </c>
      <c r="H176" s="151" t="str">
        <f t="shared" si="25"/>
        <v>-</v>
      </c>
      <c r="I176" s="151" t="str">
        <f t="shared" si="25"/>
        <v>-</v>
      </c>
      <c r="J176" s="151" t="str">
        <f t="shared" si="25"/>
        <v>-</v>
      </c>
      <c r="K176" s="151" t="str">
        <f t="shared" si="25"/>
        <v>-</v>
      </c>
      <c r="L176" s="152" t="str">
        <f t="shared" si="25"/>
        <v>-</v>
      </c>
      <c r="M176" s="10"/>
    </row>
    <row r="177" spans="2:13" x14ac:dyDescent="0.25">
      <c r="B177" s="768" t="str">
        <f>B106</f>
        <v xml:space="preserve">Tubage sans soudure L80 (y compris les améliorations) avec raccord de qualité semi-supérieure </v>
      </c>
      <c r="C177" s="641"/>
      <c r="D177" s="641"/>
      <c r="E177" s="641"/>
      <c r="F177" s="641"/>
      <c r="G177" s="641"/>
      <c r="H177" s="641"/>
      <c r="I177" s="641"/>
      <c r="J177" s="641"/>
      <c r="K177" s="641"/>
      <c r="L177" s="769"/>
      <c r="M177" s="10"/>
    </row>
    <row r="178" spans="2:13" x14ac:dyDescent="0.25">
      <c r="B178" s="770"/>
      <c r="C178" s="647"/>
      <c r="D178" s="647"/>
      <c r="E178" s="647"/>
      <c r="F178" s="647"/>
      <c r="G178" s="647"/>
      <c r="H178" s="647"/>
      <c r="I178" s="647"/>
      <c r="J178" s="647"/>
      <c r="K178" s="647"/>
      <c r="L178" s="771"/>
      <c r="M178" s="10"/>
    </row>
    <row r="179" spans="2:13" x14ac:dyDescent="0.25">
      <c r="B179" s="747" t="str">
        <f>D$31</f>
        <v>tonnes</v>
      </c>
      <c r="C179" s="748"/>
      <c r="D179" s="748"/>
      <c r="E179" s="137"/>
      <c r="F179" s="137"/>
      <c r="G179" s="137"/>
      <c r="H179" s="137"/>
      <c r="I179" s="137"/>
      <c r="J179" s="137"/>
      <c r="K179" s="137"/>
      <c r="L179" s="138"/>
      <c r="M179" s="10"/>
    </row>
    <row r="180" spans="2:13" x14ac:dyDescent="0.25">
      <c r="B180" s="747" t="str">
        <f>D$32</f>
        <v>Sans soudures</v>
      </c>
      <c r="C180" s="748"/>
      <c r="D180" s="748"/>
      <c r="E180" s="137"/>
      <c r="F180" s="137"/>
      <c r="G180" s="137"/>
      <c r="H180" s="137"/>
      <c r="I180" s="137"/>
      <c r="J180" s="137"/>
      <c r="K180" s="137"/>
      <c r="L180" s="138"/>
      <c r="M180" s="10"/>
    </row>
    <row r="181" spans="2:13" x14ac:dyDescent="0.25">
      <c r="B181" s="747" t="str">
        <f>D$33</f>
        <v>$ / tonne</v>
      </c>
      <c r="C181" s="748"/>
      <c r="D181" s="748"/>
      <c r="E181" s="151" t="str">
        <f>IF(E179=0,"-",E180/E179)</f>
        <v>-</v>
      </c>
      <c r="F181" s="151" t="str">
        <f t="shared" ref="F181:L181" si="26">IF(F179=0,"-",F180/F179)</f>
        <v>-</v>
      </c>
      <c r="G181" s="151" t="str">
        <f t="shared" si="26"/>
        <v>-</v>
      </c>
      <c r="H181" s="151" t="str">
        <f t="shared" si="26"/>
        <v>-</v>
      </c>
      <c r="I181" s="151" t="str">
        <f t="shared" si="26"/>
        <v>-</v>
      </c>
      <c r="J181" s="151" t="str">
        <f t="shared" si="26"/>
        <v>-</v>
      </c>
      <c r="K181" s="151" t="str">
        <f t="shared" si="26"/>
        <v>-</v>
      </c>
      <c r="L181" s="152" t="str">
        <f t="shared" si="26"/>
        <v>-</v>
      </c>
      <c r="M181" s="10"/>
    </row>
    <row r="182" spans="2:13" x14ac:dyDescent="0.25">
      <c r="B182" s="768" t="str">
        <f>B111</f>
        <v xml:space="preserve">Tubage soudé L80 (y compris les améliorations) avec raccord de qualité semi-supérieure </v>
      </c>
      <c r="C182" s="641"/>
      <c r="D182" s="641"/>
      <c r="E182" s="641"/>
      <c r="F182" s="641"/>
      <c r="G182" s="641"/>
      <c r="H182" s="641"/>
      <c r="I182" s="641"/>
      <c r="J182" s="641"/>
      <c r="K182" s="641"/>
      <c r="L182" s="769"/>
      <c r="M182" s="10"/>
    </row>
    <row r="183" spans="2:13" x14ac:dyDescent="0.25">
      <c r="B183" s="770"/>
      <c r="C183" s="647"/>
      <c r="D183" s="647"/>
      <c r="E183" s="647"/>
      <c r="F183" s="647"/>
      <c r="G183" s="647"/>
      <c r="H183" s="647"/>
      <c r="I183" s="647"/>
      <c r="J183" s="647"/>
      <c r="K183" s="647"/>
      <c r="L183" s="771"/>
      <c r="M183" s="10"/>
    </row>
    <row r="184" spans="2:13" x14ac:dyDescent="0.25">
      <c r="B184" s="747" t="str">
        <f>D$31</f>
        <v>tonnes</v>
      </c>
      <c r="C184" s="748"/>
      <c r="D184" s="748"/>
      <c r="E184" s="137"/>
      <c r="F184" s="137"/>
      <c r="G184" s="137"/>
      <c r="H184" s="137"/>
      <c r="I184" s="137"/>
      <c r="J184" s="137"/>
      <c r="K184" s="137"/>
      <c r="L184" s="138"/>
      <c r="M184" s="10"/>
    </row>
    <row r="185" spans="2:13" x14ac:dyDescent="0.25">
      <c r="B185" s="747" t="str">
        <f>D$32</f>
        <v>Sans soudures</v>
      </c>
      <c r="C185" s="748"/>
      <c r="D185" s="748"/>
      <c r="E185" s="137"/>
      <c r="F185" s="137"/>
      <c r="G185" s="137"/>
      <c r="H185" s="137"/>
      <c r="I185" s="137"/>
      <c r="J185" s="137"/>
      <c r="K185" s="137"/>
      <c r="L185" s="138"/>
      <c r="M185" s="10"/>
    </row>
    <row r="186" spans="2:13" x14ac:dyDescent="0.25">
      <c r="B186" s="747" t="str">
        <f>D$33</f>
        <v>$ / tonne</v>
      </c>
      <c r="C186" s="748"/>
      <c r="D186" s="748"/>
      <c r="E186" s="151" t="str">
        <f>IF(E184=0,"-",E185/E184)</f>
        <v>-</v>
      </c>
      <c r="F186" s="151" t="str">
        <f t="shared" ref="F186:L186" si="27">IF(F184=0,"-",F185/F184)</f>
        <v>-</v>
      </c>
      <c r="G186" s="151" t="str">
        <f t="shared" si="27"/>
        <v>-</v>
      </c>
      <c r="H186" s="151" t="str">
        <f t="shared" si="27"/>
        <v>-</v>
      </c>
      <c r="I186" s="151" t="str">
        <f t="shared" si="27"/>
        <v>-</v>
      </c>
      <c r="J186" s="151" t="str">
        <f t="shared" si="27"/>
        <v>-</v>
      </c>
      <c r="K186" s="151" t="str">
        <f t="shared" si="27"/>
        <v>-</v>
      </c>
      <c r="L186" s="152" t="str">
        <f t="shared" si="27"/>
        <v>-</v>
      </c>
      <c r="M186" s="10"/>
    </row>
    <row r="187" spans="2:13" x14ac:dyDescent="0.25">
      <c r="B187" s="768" t="str">
        <f>B116</f>
        <v xml:space="preserve">Tubage sans soudure P110 (y compris les améliorations) avec raccord API </v>
      </c>
      <c r="C187" s="641"/>
      <c r="D187" s="641"/>
      <c r="E187" s="641"/>
      <c r="F187" s="641"/>
      <c r="G187" s="641"/>
      <c r="H187" s="641"/>
      <c r="I187" s="641"/>
      <c r="J187" s="641"/>
      <c r="K187" s="641"/>
      <c r="L187" s="769"/>
      <c r="M187" s="10"/>
    </row>
    <row r="188" spans="2:13" x14ac:dyDescent="0.25">
      <c r="B188" s="770"/>
      <c r="C188" s="647"/>
      <c r="D188" s="647"/>
      <c r="E188" s="647"/>
      <c r="F188" s="647"/>
      <c r="G188" s="647"/>
      <c r="H188" s="647"/>
      <c r="I188" s="647"/>
      <c r="J188" s="647"/>
      <c r="K188" s="647"/>
      <c r="L188" s="771"/>
      <c r="M188" s="10"/>
    </row>
    <row r="189" spans="2:13" x14ac:dyDescent="0.25">
      <c r="B189" s="747" t="str">
        <f>D$31</f>
        <v>tonnes</v>
      </c>
      <c r="C189" s="748"/>
      <c r="D189" s="748"/>
      <c r="E189" s="137"/>
      <c r="F189" s="137"/>
      <c r="G189" s="137"/>
      <c r="H189" s="137"/>
      <c r="I189" s="137"/>
      <c r="J189" s="137"/>
      <c r="K189" s="137"/>
      <c r="L189" s="138"/>
      <c r="M189" s="10"/>
    </row>
    <row r="190" spans="2:13" x14ac:dyDescent="0.25">
      <c r="B190" s="747" t="str">
        <f>D$32</f>
        <v>Sans soudures</v>
      </c>
      <c r="C190" s="748"/>
      <c r="D190" s="748"/>
      <c r="E190" s="137"/>
      <c r="F190" s="137"/>
      <c r="G190" s="137"/>
      <c r="H190" s="137"/>
      <c r="I190" s="137"/>
      <c r="J190" s="137"/>
      <c r="K190" s="137"/>
      <c r="L190" s="138"/>
      <c r="M190" s="10"/>
    </row>
    <row r="191" spans="2:13" x14ac:dyDescent="0.25">
      <c r="B191" s="747" t="str">
        <f>D$33</f>
        <v>$ / tonne</v>
      </c>
      <c r="C191" s="748"/>
      <c r="D191" s="748"/>
      <c r="E191" s="151" t="str">
        <f>IF(E189=0,"-",E190/E189)</f>
        <v>-</v>
      </c>
      <c r="F191" s="151" t="str">
        <f t="shared" ref="F191:L191" si="28">IF(F189=0,"-",F190/F189)</f>
        <v>-</v>
      </c>
      <c r="G191" s="151" t="str">
        <f t="shared" si="28"/>
        <v>-</v>
      </c>
      <c r="H191" s="151" t="str">
        <f t="shared" si="28"/>
        <v>-</v>
      </c>
      <c r="I191" s="151" t="str">
        <f t="shared" si="28"/>
        <v>-</v>
      </c>
      <c r="J191" s="151" t="str">
        <f t="shared" si="28"/>
        <v>-</v>
      </c>
      <c r="K191" s="151" t="str">
        <f t="shared" si="28"/>
        <v>-</v>
      </c>
      <c r="L191" s="152" t="str">
        <f t="shared" si="28"/>
        <v>-</v>
      </c>
      <c r="M191" s="10"/>
    </row>
    <row r="192" spans="2:13" x14ac:dyDescent="0.25">
      <c r="B192" s="768" t="str">
        <f>B121</f>
        <v xml:space="preserve">Tubage soudé P110 (y compris les améliorations) avec raccord API </v>
      </c>
      <c r="C192" s="641"/>
      <c r="D192" s="641"/>
      <c r="E192" s="641"/>
      <c r="F192" s="641"/>
      <c r="G192" s="641"/>
      <c r="H192" s="641"/>
      <c r="I192" s="641"/>
      <c r="J192" s="641"/>
      <c r="K192" s="641"/>
      <c r="L192" s="769"/>
      <c r="M192" s="10"/>
    </row>
    <row r="193" spans="2:13" x14ac:dyDescent="0.25">
      <c r="B193" s="770"/>
      <c r="C193" s="647"/>
      <c r="D193" s="647"/>
      <c r="E193" s="647"/>
      <c r="F193" s="647"/>
      <c r="G193" s="647"/>
      <c r="H193" s="647"/>
      <c r="I193" s="647"/>
      <c r="J193" s="647"/>
      <c r="K193" s="647"/>
      <c r="L193" s="771"/>
      <c r="M193" s="10"/>
    </row>
    <row r="194" spans="2:13" x14ac:dyDescent="0.25">
      <c r="B194" s="747" t="str">
        <f>D$31</f>
        <v>tonnes</v>
      </c>
      <c r="C194" s="748"/>
      <c r="D194" s="748"/>
      <c r="E194" s="137"/>
      <c r="F194" s="137"/>
      <c r="G194" s="137"/>
      <c r="H194" s="137"/>
      <c r="I194" s="137"/>
      <c r="J194" s="137"/>
      <c r="K194" s="137"/>
      <c r="L194" s="138"/>
      <c r="M194" s="10"/>
    </row>
    <row r="195" spans="2:13" x14ac:dyDescent="0.25">
      <c r="B195" s="747" t="str">
        <f>D$32</f>
        <v>Sans soudures</v>
      </c>
      <c r="C195" s="748"/>
      <c r="D195" s="748"/>
      <c r="E195" s="137"/>
      <c r="F195" s="137"/>
      <c r="G195" s="137"/>
      <c r="H195" s="137"/>
      <c r="I195" s="137"/>
      <c r="J195" s="137"/>
      <c r="K195" s="137"/>
      <c r="L195" s="138"/>
      <c r="M195" s="10"/>
    </row>
    <row r="196" spans="2:13" x14ac:dyDescent="0.25">
      <c r="B196" s="747" t="str">
        <f>D$33</f>
        <v>$ / tonne</v>
      </c>
      <c r="C196" s="748"/>
      <c r="D196" s="748"/>
      <c r="E196" s="151" t="str">
        <f>IF(E194=0,"-",E195/E194)</f>
        <v>-</v>
      </c>
      <c r="F196" s="151" t="str">
        <f t="shared" ref="F196:L196" si="29">IF(F194=0,"-",F195/F194)</f>
        <v>-</v>
      </c>
      <c r="G196" s="151" t="str">
        <f t="shared" si="29"/>
        <v>-</v>
      </c>
      <c r="H196" s="151" t="str">
        <f t="shared" si="29"/>
        <v>-</v>
      </c>
      <c r="I196" s="151" t="str">
        <f t="shared" si="29"/>
        <v>-</v>
      </c>
      <c r="J196" s="151" t="str">
        <f t="shared" si="29"/>
        <v>-</v>
      </c>
      <c r="K196" s="151" t="str">
        <f t="shared" si="29"/>
        <v>-</v>
      </c>
      <c r="L196" s="152" t="str">
        <f t="shared" si="29"/>
        <v>-</v>
      </c>
      <c r="M196" s="10"/>
    </row>
    <row r="197" spans="2:13" x14ac:dyDescent="0.25">
      <c r="B197" s="768" t="str">
        <f>B126</f>
        <v>Tubage sans soudure P110 (y compris les améliorations) avec raccord de qualité semi-supérieure</v>
      </c>
      <c r="C197" s="641"/>
      <c r="D197" s="641"/>
      <c r="E197" s="641"/>
      <c r="F197" s="641"/>
      <c r="G197" s="641"/>
      <c r="H197" s="641"/>
      <c r="I197" s="641"/>
      <c r="J197" s="641"/>
      <c r="K197" s="641"/>
      <c r="L197" s="769"/>
      <c r="M197" s="10"/>
    </row>
    <row r="198" spans="2:13" x14ac:dyDescent="0.25">
      <c r="B198" s="770"/>
      <c r="C198" s="647"/>
      <c r="D198" s="647"/>
      <c r="E198" s="647"/>
      <c r="F198" s="647"/>
      <c r="G198" s="647"/>
      <c r="H198" s="647"/>
      <c r="I198" s="647"/>
      <c r="J198" s="647"/>
      <c r="K198" s="647"/>
      <c r="L198" s="771"/>
      <c r="M198" s="10"/>
    </row>
    <row r="199" spans="2:13" x14ac:dyDescent="0.25">
      <c r="B199" s="747" t="str">
        <f>D$31</f>
        <v>tonnes</v>
      </c>
      <c r="C199" s="748"/>
      <c r="D199" s="748"/>
      <c r="E199" s="137"/>
      <c r="F199" s="137"/>
      <c r="G199" s="137"/>
      <c r="H199" s="137"/>
      <c r="I199" s="137"/>
      <c r="J199" s="137"/>
      <c r="K199" s="137"/>
      <c r="L199" s="138"/>
      <c r="M199" s="10"/>
    </row>
    <row r="200" spans="2:13" x14ac:dyDescent="0.25">
      <c r="B200" s="747" t="str">
        <f>D$32</f>
        <v>Sans soudures</v>
      </c>
      <c r="C200" s="748"/>
      <c r="D200" s="748"/>
      <c r="E200" s="137"/>
      <c r="F200" s="137"/>
      <c r="G200" s="137"/>
      <c r="H200" s="137"/>
      <c r="I200" s="137"/>
      <c r="J200" s="137"/>
      <c r="K200" s="137"/>
      <c r="L200" s="138"/>
      <c r="M200" s="10"/>
    </row>
    <row r="201" spans="2:13" x14ac:dyDescent="0.25">
      <c r="B201" s="747" t="str">
        <f>D$33</f>
        <v>$ / tonne</v>
      </c>
      <c r="C201" s="748"/>
      <c r="D201" s="748"/>
      <c r="E201" s="151" t="str">
        <f>IF(E199=0,"-",E200/E199)</f>
        <v>-</v>
      </c>
      <c r="F201" s="151" t="str">
        <f t="shared" ref="F201:L201" si="30">IF(F199=0,"-",F200/F199)</f>
        <v>-</v>
      </c>
      <c r="G201" s="151" t="str">
        <f t="shared" si="30"/>
        <v>-</v>
      </c>
      <c r="H201" s="151" t="str">
        <f t="shared" si="30"/>
        <v>-</v>
      </c>
      <c r="I201" s="151" t="str">
        <f t="shared" si="30"/>
        <v>-</v>
      </c>
      <c r="J201" s="151" t="str">
        <f t="shared" si="30"/>
        <v>-</v>
      </c>
      <c r="K201" s="151" t="str">
        <f t="shared" si="30"/>
        <v>-</v>
      </c>
      <c r="L201" s="152" t="str">
        <f t="shared" si="30"/>
        <v>-</v>
      </c>
      <c r="M201" s="10"/>
    </row>
    <row r="202" spans="2:13" x14ac:dyDescent="0.25">
      <c r="B202" s="768" t="str">
        <f>B131</f>
        <v>Tubage soudé P110 (y compris les améliorations) avec raccord de qualité semi-supérieure</v>
      </c>
      <c r="C202" s="641"/>
      <c r="D202" s="641"/>
      <c r="E202" s="641"/>
      <c r="F202" s="641"/>
      <c r="G202" s="641"/>
      <c r="H202" s="641"/>
      <c r="I202" s="641"/>
      <c r="J202" s="641"/>
      <c r="K202" s="641"/>
      <c r="L202" s="769"/>
      <c r="M202" s="10"/>
    </row>
    <row r="203" spans="2:13" x14ac:dyDescent="0.25">
      <c r="B203" s="770"/>
      <c r="C203" s="647"/>
      <c r="D203" s="647"/>
      <c r="E203" s="647"/>
      <c r="F203" s="647"/>
      <c r="G203" s="647"/>
      <c r="H203" s="647"/>
      <c r="I203" s="647"/>
      <c r="J203" s="647"/>
      <c r="K203" s="647"/>
      <c r="L203" s="771"/>
      <c r="M203" s="10"/>
    </row>
    <row r="204" spans="2:13" x14ac:dyDescent="0.25">
      <c r="B204" s="747" t="str">
        <f>D$31</f>
        <v>tonnes</v>
      </c>
      <c r="C204" s="748"/>
      <c r="D204" s="748"/>
      <c r="E204" s="137"/>
      <c r="F204" s="137"/>
      <c r="G204" s="137"/>
      <c r="H204" s="137"/>
      <c r="I204" s="137"/>
      <c r="J204" s="137"/>
      <c r="K204" s="137"/>
      <c r="L204" s="138"/>
      <c r="M204" s="10"/>
    </row>
    <row r="205" spans="2:13" x14ac:dyDescent="0.25">
      <c r="B205" s="747" t="str">
        <f>D$32</f>
        <v>Sans soudures</v>
      </c>
      <c r="C205" s="748"/>
      <c r="D205" s="748"/>
      <c r="E205" s="137"/>
      <c r="F205" s="137"/>
      <c r="G205" s="137"/>
      <c r="H205" s="137"/>
      <c r="I205" s="137"/>
      <c r="J205" s="137"/>
      <c r="K205" s="137"/>
      <c r="L205" s="138"/>
      <c r="M205" s="10"/>
    </row>
    <row r="206" spans="2:13" x14ac:dyDescent="0.25">
      <c r="B206" s="747" t="str">
        <f>D$33</f>
        <v>$ / tonne</v>
      </c>
      <c r="C206" s="748"/>
      <c r="D206" s="748"/>
      <c r="E206" s="151" t="str">
        <f>IF(E204=0,"-",E205/E204)</f>
        <v>-</v>
      </c>
      <c r="F206" s="151" t="str">
        <f t="shared" ref="F206:L206" si="31">IF(F204=0,"-",F205/F204)</f>
        <v>-</v>
      </c>
      <c r="G206" s="151" t="str">
        <f t="shared" si="31"/>
        <v>-</v>
      </c>
      <c r="H206" s="151" t="str">
        <f t="shared" si="31"/>
        <v>-</v>
      </c>
      <c r="I206" s="151" t="str">
        <f t="shared" si="31"/>
        <v>-</v>
      </c>
      <c r="J206" s="151" t="str">
        <f t="shared" si="31"/>
        <v>-</v>
      </c>
      <c r="K206" s="151" t="str">
        <f t="shared" si="31"/>
        <v>-</v>
      </c>
      <c r="L206" s="152" t="str">
        <f t="shared" si="31"/>
        <v>-</v>
      </c>
      <c r="M206" s="10"/>
    </row>
    <row r="207" spans="2:13" x14ac:dyDescent="0.25">
      <c r="B207" s="768" t="str">
        <f>B136</f>
        <v>Tubage sans soudure T95 (y compris les améliorations) avec raccord semi-supérieure</v>
      </c>
      <c r="C207" s="641"/>
      <c r="D207" s="641"/>
      <c r="E207" s="641"/>
      <c r="F207" s="641"/>
      <c r="G207" s="641"/>
      <c r="H207" s="641"/>
      <c r="I207" s="641"/>
      <c r="J207" s="641"/>
      <c r="K207" s="641"/>
      <c r="L207" s="769"/>
      <c r="M207" s="10"/>
    </row>
    <row r="208" spans="2:13" x14ac:dyDescent="0.25">
      <c r="B208" s="770"/>
      <c r="C208" s="647"/>
      <c r="D208" s="647"/>
      <c r="E208" s="647"/>
      <c r="F208" s="647"/>
      <c r="G208" s="647"/>
      <c r="H208" s="647"/>
      <c r="I208" s="647"/>
      <c r="J208" s="647"/>
      <c r="K208" s="647"/>
      <c r="L208" s="771"/>
      <c r="M208" s="10"/>
    </row>
    <row r="209" spans="2:19" x14ac:dyDescent="0.25">
      <c r="B209" s="747" t="str">
        <f>D$31</f>
        <v>tonnes</v>
      </c>
      <c r="C209" s="748"/>
      <c r="D209" s="748"/>
      <c r="E209" s="137"/>
      <c r="F209" s="137"/>
      <c r="G209" s="137"/>
      <c r="H209" s="137"/>
      <c r="I209" s="137"/>
      <c r="J209" s="137"/>
      <c r="K209" s="137"/>
      <c r="L209" s="138"/>
      <c r="M209" s="10"/>
    </row>
    <row r="210" spans="2:19" x14ac:dyDescent="0.25">
      <c r="B210" s="747" t="str">
        <f>D$32</f>
        <v>Sans soudures</v>
      </c>
      <c r="C210" s="748"/>
      <c r="D210" s="748"/>
      <c r="E210" s="137"/>
      <c r="F210" s="137"/>
      <c r="G210" s="137"/>
      <c r="H210" s="137"/>
      <c r="I210" s="137"/>
      <c r="J210" s="137"/>
      <c r="K210" s="137"/>
      <c r="L210" s="138"/>
      <c r="M210" s="10"/>
    </row>
    <row r="211" spans="2:19" x14ac:dyDescent="0.25">
      <c r="B211" s="747" t="str">
        <f>D$33</f>
        <v>$ / tonne</v>
      </c>
      <c r="C211" s="748"/>
      <c r="D211" s="748"/>
      <c r="E211" s="151" t="str">
        <f>IF(E209=0,"-",E210/E209)</f>
        <v>-</v>
      </c>
      <c r="F211" s="151" t="str">
        <f t="shared" ref="F211:L211" si="32">IF(F209=0,"-",F210/F209)</f>
        <v>-</v>
      </c>
      <c r="G211" s="151" t="str">
        <f t="shared" si="32"/>
        <v>-</v>
      </c>
      <c r="H211" s="151" t="str">
        <f t="shared" si="32"/>
        <v>-</v>
      </c>
      <c r="I211" s="151" t="str">
        <f t="shared" si="32"/>
        <v>-</v>
      </c>
      <c r="J211" s="151" t="str">
        <f t="shared" si="32"/>
        <v>-</v>
      </c>
      <c r="K211" s="151" t="str">
        <f t="shared" si="32"/>
        <v>-</v>
      </c>
      <c r="L211" s="152" t="str">
        <f t="shared" si="32"/>
        <v>-</v>
      </c>
      <c r="M211" s="10"/>
    </row>
    <row r="212" spans="2:19" x14ac:dyDescent="0.25">
      <c r="B212" s="768" t="str">
        <f>B141</f>
        <v>Tubage sans soudure P110S (y compris les améliorations) ou nuance similaire pour milieux modérément acides avec raccord de qualité semi-supérieure</v>
      </c>
      <c r="C212" s="641"/>
      <c r="D212" s="641"/>
      <c r="E212" s="641"/>
      <c r="F212" s="641"/>
      <c r="G212" s="641"/>
      <c r="H212" s="641"/>
      <c r="I212" s="641"/>
      <c r="J212" s="641"/>
      <c r="K212" s="641"/>
      <c r="L212" s="769"/>
      <c r="M212" s="10"/>
    </row>
    <row r="213" spans="2:19" x14ac:dyDescent="0.25">
      <c r="B213" s="770"/>
      <c r="C213" s="647"/>
      <c r="D213" s="647"/>
      <c r="E213" s="647"/>
      <c r="F213" s="647"/>
      <c r="G213" s="647"/>
      <c r="H213" s="647"/>
      <c r="I213" s="647"/>
      <c r="J213" s="647"/>
      <c r="K213" s="647"/>
      <c r="L213" s="771"/>
      <c r="M213" s="10"/>
    </row>
    <row r="214" spans="2:19" x14ac:dyDescent="0.25">
      <c r="B214" s="747" t="str">
        <f>D$31</f>
        <v>tonnes</v>
      </c>
      <c r="C214" s="748"/>
      <c r="D214" s="748"/>
      <c r="E214" s="137"/>
      <c r="F214" s="137"/>
      <c r="G214" s="137"/>
      <c r="H214" s="137"/>
      <c r="I214" s="137"/>
      <c r="J214" s="137"/>
      <c r="K214" s="137"/>
      <c r="L214" s="138"/>
      <c r="M214" s="10"/>
    </row>
    <row r="215" spans="2:19" x14ac:dyDescent="0.25">
      <c r="B215" s="747" t="str">
        <f>D$32</f>
        <v>Sans soudures</v>
      </c>
      <c r="C215" s="748"/>
      <c r="D215" s="748"/>
      <c r="E215" s="137"/>
      <c r="F215" s="137"/>
      <c r="G215" s="137"/>
      <c r="H215" s="137"/>
      <c r="I215" s="137"/>
      <c r="J215" s="137"/>
      <c r="K215" s="137"/>
      <c r="L215" s="138"/>
      <c r="M215" s="10"/>
    </row>
    <row r="216" spans="2:19" x14ac:dyDescent="0.25">
      <c r="B216" s="747" t="str">
        <f>D$33</f>
        <v>$ / tonne</v>
      </c>
      <c r="C216" s="748"/>
      <c r="D216" s="748"/>
      <c r="E216" s="151" t="str">
        <f>IF(E214=0,"-",E215/E214)</f>
        <v>-</v>
      </c>
      <c r="F216" s="151" t="str">
        <f t="shared" ref="F216:L216" si="33">IF(F214=0,"-",F215/F214)</f>
        <v>-</v>
      </c>
      <c r="G216" s="151" t="str">
        <f t="shared" si="33"/>
        <v>-</v>
      </c>
      <c r="H216" s="151" t="str">
        <f t="shared" si="33"/>
        <v>-</v>
      </c>
      <c r="I216" s="151" t="str">
        <f t="shared" si="33"/>
        <v>-</v>
      </c>
      <c r="J216" s="151" t="str">
        <f t="shared" si="33"/>
        <v>-</v>
      </c>
      <c r="K216" s="151" t="str">
        <f t="shared" si="33"/>
        <v>-</v>
      </c>
      <c r="L216" s="152" t="str">
        <f t="shared" si="33"/>
        <v>-</v>
      </c>
      <c r="M216" s="10"/>
    </row>
    <row r="217" spans="2:19" x14ac:dyDescent="0.25">
      <c r="B217" s="260"/>
      <c r="C217" s="261"/>
      <c r="D217" s="261"/>
      <c r="E217" s="29"/>
      <c r="F217" s="29"/>
      <c r="G217" s="29"/>
      <c r="H217" s="29"/>
      <c r="I217" s="29"/>
      <c r="J217" s="29"/>
      <c r="K217" s="29"/>
      <c r="L217" s="30"/>
      <c r="M217" s="10"/>
    </row>
    <row r="218" spans="2:19" x14ac:dyDescent="0.25">
      <c r="B218" s="527" t="str">
        <f>IF(Intro!$G$20="English",O218,P218)</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18" s="528"/>
      <c r="D218" s="528"/>
      <c r="E218" s="528"/>
      <c r="F218" s="528"/>
      <c r="G218" s="528"/>
      <c r="H218" s="528"/>
      <c r="I218" s="528"/>
      <c r="J218" s="528"/>
      <c r="K218" s="528"/>
      <c r="L218" s="529"/>
      <c r="M218" s="10"/>
      <c r="O218" s="10" t="s">
        <v>363</v>
      </c>
      <c r="P218" s="10" t="s">
        <v>401</v>
      </c>
      <c r="S218" s="38"/>
    </row>
    <row r="219" spans="2:19" x14ac:dyDescent="0.25">
      <c r="B219" s="527"/>
      <c r="C219" s="528"/>
      <c r="D219" s="528"/>
      <c r="E219" s="528"/>
      <c r="F219" s="528"/>
      <c r="G219" s="528"/>
      <c r="H219" s="528"/>
      <c r="I219" s="528"/>
      <c r="J219" s="528"/>
      <c r="K219" s="528"/>
      <c r="L219" s="529"/>
      <c r="M219" s="10"/>
      <c r="S219" s="38"/>
    </row>
    <row r="220" spans="2:19" x14ac:dyDescent="0.25">
      <c r="B220" s="214"/>
      <c r="C220" s="215"/>
      <c r="D220" s="215"/>
      <c r="E220" s="29"/>
      <c r="F220" s="29"/>
      <c r="G220" s="29"/>
      <c r="H220" s="29"/>
      <c r="I220" s="29"/>
      <c r="J220" s="29"/>
      <c r="K220" s="29"/>
      <c r="L220" s="30"/>
      <c r="M220" s="10"/>
      <c r="S220" s="38"/>
    </row>
    <row r="221" spans="2:19" ht="14.1" customHeight="1" x14ac:dyDescent="0.25">
      <c r="B221" s="760" t="str">
        <f>Variables!D66</f>
        <v>Vérification - volume</v>
      </c>
      <c r="C221" s="761"/>
      <c r="D221" s="761"/>
      <c r="E221" s="761"/>
      <c r="F221" s="762"/>
      <c r="G221" s="218">
        <f>G150</f>
        <v>2024</v>
      </c>
      <c r="H221" s="218">
        <f>H150</f>
        <v>2025</v>
      </c>
      <c r="I221" s="218" t="str">
        <f>I150</f>
        <v>janv.-mars 2025</v>
      </c>
      <c r="J221" s="218" t="str">
        <f>J150</f>
        <v>janv.-mars 2026</v>
      </c>
      <c r="K221" s="225"/>
      <c r="L221" s="226"/>
      <c r="M221" s="10"/>
      <c r="O221" s="18"/>
    </row>
    <row r="222" spans="2:19" ht="14.1" customHeight="1" x14ac:dyDescent="0.25">
      <c r="B222" s="757" t="str">
        <f>B169</f>
        <v>tonnes</v>
      </c>
      <c r="C222" s="758"/>
      <c r="D222" s="758"/>
      <c r="E222" s="758"/>
      <c r="F222" s="759"/>
      <c r="G222" s="187" t="str">
        <f>IF(SUM(E169:G169,E174:G174,E179:G179,E184:G184,E189:G189,E194:G194,E199:G199,E204:G204,E209:G209,E214:G214)&gt;H44,Variables!$D$67,Variables!$D$68)</f>
        <v>Correct</v>
      </c>
      <c r="H222" s="187" t="str">
        <f>IF(SUM(H169:K169,H174:K174,H179:K179,H184:K184,H189:K189,H194:K194,H199:K199,H204:K204,H209:K209,H214:K214)&gt;I44,Variables!$D$67,Variables!$D$68)</f>
        <v>Correct</v>
      </c>
      <c r="I222" s="187" t="str">
        <f>IF(SUM(H169,H174,H179,H184,H189,H194,H199,H204,H209,H214)&gt;J44,Variables!$D$67,Variables!$D$68)</f>
        <v>Correct</v>
      </c>
      <c r="J222" s="187" t="str">
        <f>IF(SUM(L169,L174,L179,L184,L189,L194,L199,L204,L209,L214)&gt;K44,Variables!$D$67,Variables!$D$68)</f>
        <v>Correct</v>
      </c>
      <c r="K222" s="225"/>
      <c r="L222" s="226"/>
      <c r="M222" s="10"/>
    </row>
    <row r="223" spans="2:19" ht="31.5" customHeight="1" x14ac:dyDescent="0.25">
      <c r="B223" s="763" t="str">
        <f>IF(Intro!$G$20="English",O223,P223)</f>
        <v>volume - total des ventes au Canada d'importations des produits de référence (Question 4)</v>
      </c>
      <c r="C223" s="764"/>
      <c r="D223" s="764"/>
      <c r="E223" s="764"/>
      <c r="F223" s="765"/>
      <c r="G223" s="191">
        <f>(SUM(E169:G169,E174:G174,E179:G179,E184:G184,E189:G189,E194:G194,E199:G199,E204:G204,E209:G209,E214:G214))</f>
        <v>0</v>
      </c>
      <c r="H223" s="191">
        <f>SUM(H169:K169,H174:K174,H179:K179,H184:K184,H189:K189,H194:K194,H199:K199,H204:K204,H209:K209,H214:K214)</f>
        <v>0</v>
      </c>
      <c r="I223" s="191">
        <f>SUM(H169,H174,H179,H184,H189,H194,H199,H204,H209,H214)</f>
        <v>0</v>
      </c>
      <c r="J223" s="191">
        <f>SUM(L169,L174,L179,L184,L189,L194,L199,L204,L209,L214)</f>
        <v>0</v>
      </c>
      <c r="K223" s="225"/>
      <c r="L223" s="226"/>
      <c r="M223" s="10"/>
      <c r="O223" s="10" t="s">
        <v>447</v>
      </c>
      <c r="P223" s="10" t="s">
        <v>449</v>
      </c>
    </row>
    <row r="224" spans="2:19" ht="14.1" customHeight="1" x14ac:dyDescent="0.25">
      <c r="B224" s="763" t="str">
        <f>IF(Intro!$G$20="English",O224,P224)</f>
        <v>volume - total des ventes au Canada d'importations (Question 1)</v>
      </c>
      <c r="C224" s="764"/>
      <c r="D224" s="764"/>
      <c r="E224" s="764"/>
      <c r="F224" s="765"/>
      <c r="G224" s="187">
        <f>H44</f>
        <v>0</v>
      </c>
      <c r="H224" s="187">
        <f>I44</f>
        <v>0</v>
      </c>
      <c r="I224" s="187">
        <f>J44</f>
        <v>0</v>
      </c>
      <c r="J224" s="187">
        <f>K44</f>
        <v>0</v>
      </c>
      <c r="K224" s="225"/>
      <c r="L224" s="226"/>
      <c r="M224" s="10"/>
      <c r="O224" s="10" t="s">
        <v>440</v>
      </c>
      <c r="P224" s="10" t="s">
        <v>442</v>
      </c>
    </row>
    <row r="225" spans="1:16" x14ac:dyDescent="0.25">
      <c r="B225" s="760" t="str">
        <f>Variables!D70</f>
        <v>Vérification - valeur</v>
      </c>
      <c r="C225" s="761"/>
      <c r="D225" s="761"/>
      <c r="E225" s="761"/>
      <c r="F225" s="762"/>
      <c r="G225" s="218">
        <f>G221</f>
        <v>2024</v>
      </c>
      <c r="H225" s="218">
        <f t="shared" ref="H225:J225" si="34">H221</f>
        <v>2025</v>
      </c>
      <c r="I225" s="218" t="str">
        <f t="shared" si="34"/>
        <v>janv.-mars 2025</v>
      </c>
      <c r="J225" s="218" t="str">
        <f t="shared" si="34"/>
        <v>janv.-mars 2026</v>
      </c>
      <c r="K225" s="225"/>
      <c r="L225" s="226"/>
      <c r="M225" s="10"/>
    </row>
    <row r="226" spans="1:16" ht="14.1" customHeight="1" x14ac:dyDescent="0.25">
      <c r="B226" s="757" t="str">
        <f>B170</f>
        <v>Sans soudures</v>
      </c>
      <c r="C226" s="758"/>
      <c r="D226" s="758"/>
      <c r="E226" s="758"/>
      <c r="F226" s="759"/>
      <c r="G226" s="187" t="str">
        <f>IF(SUM(E170:G170,E175:G175,E180:G180,E185:G185,E190:G190,E195:G195,E200:G200,E205:G205,E210:G210,E215:G215)&gt;H45,Variables!$D$67,Variables!$D$68)</f>
        <v>Correct</v>
      </c>
      <c r="H226" s="187" t="str">
        <f>IF(SUM(H170:K170,H175:K175,H180:K180,H185:K185,H190:K190,H195:K195,H200:K200,H205:K205,H210:K210,H215:K215)&gt;I45,Variables!$D$67,Variables!$D$68)</f>
        <v>Correct</v>
      </c>
      <c r="I226" s="187" t="str">
        <f>IF(SUM(H170,H175,H180,H185,H190,H195,H200,H205,H210,H215)&gt;J45,Variables!$D$67,Variables!$D$68)</f>
        <v>Correct</v>
      </c>
      <c r="J226" s="187" t="str">
        <f>IF(SUM(L170,L175,L180,L185,L190,L195,L200,L205,L210,L215)&gt;K45,Variables!$D$67,Variables!$D$68)</f>
        <v>Correct</v>
      </c>
      <c r="K226" s="225"/>
      <c r="L226" s="226"/>
      <c r="M226" s="10"/>
    </row>
    <row r="227" spans="1:16" ht="27.75" customHeight="1" x14ac:dyDescent="0.25">
      <c r="B227" s="763" t="str">
        <f>IF(Intro!$G$20="English",O227,P227)</f>
        <v>valeur - total des ventes au Canada d'importations des produits de référence (Question 4)</v>
      </c>
      <c r="C227" s="764"/>
      <c r="D227" s="764"/>
      <c r="E227" s="764"/>
      <c r="F227" s="765"/>
      <c r="G227" s="191">
        <f>SUM(E170:G170,E175:G175,E180:G180,E185:G185,E190:G190,E195:G195,E200:G200,E205:G205,E210:G210,E215:G215)</f>
        <v>0</v>
      </c>
      <c r="H227" s="191">
        <f>SUM(H170:K170,H175:K175,H180:K180,H185:K185,H190:K190,H195:K195,H200:K200,H205:K205,H210:K210,H215:K215)</f>
        <v>0</v>
      </c>
      <c r="I227" s="191">
        <f>SUM(H170,H175,H180,H185,H190,H195,H200,H205,H210,H215)</f>
        <v>0</v>
      </c>
      <c r="J227" s="191">
        <f>SUM(L170,L175,L180,L185,L190,L195,L200,L205,L210,L215)</f>
        <v>0</v>
      </c>
      <c r="K227" s="225"/>
      <c r="L227" s="226"/>
      <c r="M227" s="10"/>
      <c r="O227" s="10" t="s">
        <v>448</v>
      </c>
      <c r="P227" s="10" t="s">
        <v>450</v>
      </c>
    </row>
    <row r="228" spans="1:16" ht="14.1" customHeight="1" x14ac:dyDescent="0.25">
      <c r="B228" s="763" t="str">
        <f>IF(Intro!$G$20="English",O228,P228)</f>
        <v>valeur - total des ventes au Canada d'importations (Question 1)</v>
      </c>
      <c r="C228" s="764"/>
      <c r="D228" s="764"/>
      <c r="E228" s="764"/>
      <c r="F228" s="765"/>
      <c r="G228" s="187">
        <f>H45</f>
        <v>0</v>
      </c>
      <c r="H228" s="187">
        <f>I45</f>
        <v>0</v>
      </c>
      <c r="I228" s="187">
        <f>J45</f>
        <v>0</v>
      </c>
      <c r="J228" s="187">
        <f>K45</f>
        <v>0</v>
      </c>
      <c r="K228" s="225"/>
      <c r="L228" s="226"/>
      <c r="M228" s="10"/>
      <c r="O228" s="10" t="s">
        <v>446</v>
      </c>
      <c r="P228" s="10" t="s">
        <v>444</v>
      </c>
    </row>
    <row r="229" spans="1:16" x14ac:dyDescent="0.25">
      <c r="B229" s="72"/>
      <c r="C229" s="82"/>
      <c r="D229" s="82"/>
      <c r="E229" s="82"/>
      <c r="F229" s="82"/>
      <c r="G229" s="82"/>
      <c r="H229" s="82"/>
      <c r="I229" s="82"/>
      <c r="J229" s="82"/>
      <c r="K229" s="82"/>
      <c r="L229" s="83"/>
      <c r="M229" s="10"/>
    </row>
    <row r="230" spans="1:16" s="44" customFormat="1" x14ac:dyDescent="0.25">
      <c r="A230" s="92"/>
      <c r="B230" s="4"/>
      <c r="C230" s="4"/>
      <c r="D230" s="77"/>
      <c r="E230" s="77"/>
      <c r="F230" s="77"/>
      <c r="G230" s="77"/>
      <c r="H230" s="77"/>
      <c r="I230" s="77"/>
      <c r="J230" s="77"/>
      <c r="K230" s="77"/>
      <c r="L230" s="77"/>
      <c r="N230" s="78"/>
    </row>
    <row r="231" spans="1:16" x14ac:dyDescent="0.25">
      <c r="B231" s="533" t="str">
        <f>IF(Intro!$G$20="English",O231,P231)</f>
        <v>DONNÉES SUR LES IMPORTATIONS POUR LA PÉRIODE D'ENQUÊTE ANTIDUMPING DE L'ASFC</v>
      </c>
      <c r="C231" s="534"/>
      <c r="D231" s="534"/>
      <c r="E231" s="534"/>
      <c r="F231" s="534"/>
      <c r="G231" s="534"/>
      <c r="H231" s="534"/>
      <c r="I231" s="534"/>
      <c r="J231" s="534"/>
      <c r="K231" s="534"/>
      <c r="L231" s="535"/>
      <c r="M231" s="10"/>
      <c r="O231" s="105" t="s">
        <v>337</v>
      </c>
      <c r="P231" s="105" t="s">
        <v>338</v>
      </c>
    </row>
    <row r="232" spans="1:16" s="207" customFormat="1" x14ac:dyDescent="0.25">
      <c r="A232" s="7"/>
      <c r="B232" s="671" t="s">
        <v>18</v>
      </c>
      <c r="C232" s="672"/>
      <c r="D232" s="672"/>
      <c r="E232" s="672"/>
      <c r="F232" s="672"/>
      <c r="G232" s="672"/>
      <c r="H232" s="672"/>
      <c r="I232" s="672"/>
      <c r="J232" s="672"/>
      <c r="K232" s="672"/>
      <c r="L232" s="673"/>
      <c r="M232" s="73"/>
      <c r="O232" s="10"/>
    </row>
    <row r="233" spans="1:16" x14ac:dyDescent="0.25">
      <c r="B233" s="16"/>
      <c r="C233" s="35"/>
      <c r="D233" s="35"/>
      <c r="E233" s="36"/>
      <c r="F233" s="36"/>
      <c r="G233" s="36"/>
      <c r="H233" s="36"/>
      <c r="I233" s="36"/>
      <c r="J233" s="36"/>
      <c r="K233" s="36"/>
      <c r="L233" s="17"/>
      <c r="M233" s="10"/>
    </row>
    <row r="234" spans="1:16" x14ac:dyDescent="0.25">
      <c r="B234" s="530" t="str">
        <f>IF(Intro!$G$20="English",O234,P234)</f>
        <v>Indiquez le volume et la valeur des importations pendant la période d'enquête de dumping de l'ASFC :</v>
      </c>
      <c r="C234" s="531"/>
      <c r="D234" s="531"/>
      <c r="E234" s="531"/>
      <c r="F234" s="531"/>
      <c r="G234" s="531"/>
      <c r="H234" s="531"/>
      <c r="I234" s="531"/>
      <c r="J234" s="531"/>
      <c r="K234" s="531"/>
      <c r="L234" s="532"/>
      <c r="M234" s="10"/>
      <c r="O234" s="18" t="s">
        <v>199</v>
      </c>
      <c r="P234" s="10" t="s">
        <v>200</v>
      </c>
    </row>
    <row r="235" spans="1:16" x14ac:dyDescent="0.25">
      <c r="B235" s="214"/>
      <c r="C235" s="215"/>
      <c r="D235" s="35"/>
      <c r="E235" s="36"/>
      <c r="F235" s="36"/>
      <c r="G235" s="36"/>
      <c r="H235" s="36"/>
      <c r="I235" s="36"/>
      <c r="J235" s="36"/>
      <c r="K235" s="36"/>
      <c r="L235" s="17"/>
      <c r="M235" s="10"/>
      <c r="O235" s="18"/>
    </row>
    <row r="236" spans="1:16" ht="29.25" customHeight="1" x14ac:dyDescent="0.25">
      <c r="B236" s="48"/>
      <c r="C236" s="45"/>
      <c r="D236" s="35"/>
      <c r="E236" s="10"/>
      <c r="F236" s="775" t="str">
        <f>IF(Intro!$G$20="English",Variables!B41,Variables!C41)</f>
        <v>1er décembre 2024 - 30 novembre 2025</v>
      </c>
      <c r="G236" s="776"/>
      <c r="H236" s="225"/>
      <c r="I236" s="225"/>
      <c r="J236" s="225"/>
      <c r="K236" s="225"/>
      <c r="L236" s="71"/>
      <c r="M236" s="10"/>
      <c r="O236" s="47"/>
      <c r="P236" s="47"/>
    </row>
    <row r="237" spans="1:16" x14ac:dyDescent="0.25">
      <c r="B237" s="567" t="str">
        <f>IF(Intro!$G$20="English",O237,P237)</f>
        <v>Importations</v>
      </c>
      <c r="C237" s="748" t="str">
        <f>D26</f>
        <v>tonnes</v>
      </c>
      <c r="D237" s="748"/>
      <c r="E237" s="748"/>
      <c r="F237" s="777"/>
      <c r="G237" s="778"/>
      <c r="H237" s="225"/>
      <c r="I237" s="225"/>
      <c r="J237" s="225"/>
      <c r="K237" s="225"/>
      <c r="L237" s="71"/>
      <c r="M237" s="10"/>
      <c r="O237" s="10" t="s">
        <v>91</v>
      </c>
      <c r="P237" s="10" t="s">
        <v>170</v>
      </c>
    </row>
    <row r="238" spans="1:16" x14ac:dyDescent="0.25">
      <c r="B238" s="567"/>
      <c r="C238" s="748" t="str">
        <f>D27</f>
        <v>valeur d'achat nette rendue (CAD)</v>
      </c>
      <c r="D238" s="748"/>
      <c r="E238" s="748"/>
      <c r="F238" s="777"/>
      <c r="G238" s="778"/>
      <c r="H238" s="225"/>
      <c r="I238" s="225"/>
      <c r="J238" s="225"/>
      <c r="K238" s="225"/>
      <c r="L238" s="71"/>
      <c r="M238" s="10"/>
    </row>
    <row r="239" spans="1:16" x14ac:dyDescent="0.25">
      <c r="B239" s="567"/>
      <c r="C239" s="748" t="str">
        <f>D28</f>
        <v>$ / tonne</v>
      </c>
      <c r="D239" s="748"/>
      <c r="E239" s="748"/>
      <c r="F239" s="779" t="str">
        <f>IF(F237=0,"-",F238/F237)</f>
        <v>-</v>
      </c>
      <c r="G239" s="780"/>
      <c r="H239" s="88"/>
      <c r="I239" s="88"/>
      <c r="J239" s="88"/>
      <c r="K239" s="88"/>
      <c r="L239" s="71"/>
      <c r="M239" s="10"/>
    </row>
    <row r="240" spans="1:16" x14ac:dyDescent="0.25">
      <c r="B240" s="46"/>
      <c r="C240" s="115"/>
      <c r="D240" s="115"/>
      <c r="E240" s="34"/>
      <c r="F240" s="34"/>
      <c r="G240" s="34"/>
      <c r="H240" s="34"/>
      <c r="I240" s="34"/>
      <c r="J240" s="34"/>
      <c r="K240" s="34"/>
      <c r="L240" s="37"/>
      <c r="M240" s="10"/>
    </row>
    <row r="241" spans="1:19" s="44" customFormat="1" x14ac:dyDescent="0.25">
      <c r="A241" s="92"/>
      <c r="B241" s="4"/>
      <c r="C241" s="4"/>
      <c r="D241" s="77"/>
      <c r="E241" s="77"/>
      <c r="F241" s="77"/>
      <c r="G241" s="77"/>
      <c r="H241" s="77"/>
      <c r="I241" s="77"/>
      <c r="J241" s="77"/>
      <c r="K241" s="77"/>
      <c r="L241" s="77"/>
      <c r="N241" s="78"/>
    </row>
    <row r="242" spans="1:19" x14ac:dyDescent="0.25">
      <c r="B242" s="533" t="str">
        <f>UPPER(IF(Intro!$G$20="English",O242,P242))</f>
        <v>DONNÉES SUR LES IMPORTATIONS POUR L'ANALYSE DES IMPORTATIONS MASSIVES</v>
      </c>
      <c r="C242" s="534"/>
      <c r="D242" s="534"/>
      <c r="E242" s="534"/>
      <c r="F242" s="534"/>
      <c r="G242" s="534"/>
      <c r="H242" s="534"/>
      <c r="I242" s="534"/>
      <c r="J242" s="534"/>
      <c r="K242" s="534"/>
      <c r="L242" s="535"/>
      <c r="M242" s="10"/>
      <c r="O242" s="105" t="s">
        <v>339</v>
      </c>
      <c r="P242" s="105" t="s">
        <v>402</v>
      </c>
    </row>
    <row r="243" spans="1:19" s="207" customFormat="1" x14ac:dyDescent="0.25">
      <c r="A243" s="7"/>
      <c r="B243" s="671" t="s">
        <v>19</v>
      </c>
      <c r="C243" s="672"/>
      <c r="D243" s="672"/>
      <c r="E243" s="672"/>
      <c r="F243" s="672"/>
      <c r="G243" s="672"/>
      <c r="H243" s="672"/>
      <c r="I243" s="672"/>
      <c r="J243" s="672"/>
      <c r="K243" s="672"/>
      <c r="L243" s="673"/>
      <c r="M243" s="73"/>
      <c r="O243" s="10"/>
    </row>
    <row r="244" spans="1:19" x14ac:dyDescent="0.25">
      <c r="B244" s="16"/>
      <c r="C244" s="35"/>
      <c r="D244" s="35"/>
      <c r="E244" s="36"/>
      <c r="F244" s="36"/>
      <c r="G244" s="36"/>
      <c r="H244" s="36"/>
      <c r="I244" s="36"/>
      <c r="J244" s="36"/>
      <c r="K244" s="36"/>
      <c r="L244" s="17"/>
      <c r="M244" s="10"/>
    </row>
    <row r="245" spans="1:19" x14ac:dyDescent="0.25">
      <c r="B245" s="530" t="str">
        <f>IF(Intro!$G$20="English",O245,P245)</f>
        <v>Indiquez le volume des importations et le stock de clôture au Canada des marchandises provenant de l'exportateur décrit ci-dessus :</v>
      </c>
      <c r="C245" s="531"/>
      <c r="D245" s="531"/>
      <c r="E245" s="531"/>
      <c r="F245" s="531"/>
      <c r="G245" s="531"/>
      <c r="H245" s="531"/>
      <c r="I245" s="531"/>
      <c r="J245" s="531"/>
      <c r="K245" s="531"/>
      <c r="L245" s="532"/>
      <c r="M245" s="10"/>
      <c r="O245" s="18" t="s">
        <v>194</v>
      </c>
      <c r="P245" s="10" t="s">
        <v>404</v>
      </c>
    </row>
    <row r="246" spans="1:19" x14ac:dyDescent="0.25">
      <c r="B246" s="214"/>
      <c r="C246" s="215"/>
      <c r="D246" s="35"/>
      <c r="E246" s="36"/>
      <c r="F246" s="36"/>
      <c r="G246" s="36"/>
      <c r="H246" s="36"/>
      <c r="I246" s="36"/>
      <c r="J246" s="36"/>
      <c r="K246" s="36"/>
      <c r="L246" s="17"/>
      <c r="M246" s="10"/>
      <c r="O246" s="18"/>
    </row>
    <row r="247" spans="1:19" x14ac:dyDescent="0.25">
      <c r="B247" s="214"/>
      <c r="C247" s="215"/>
      <c r="D247" s="35"/>
      <c r="E247" s="266" t="str">
        <f>IF(Intro!$G$20="English",Variables!B83,Variables!C83)</f>
        <v>T2 2024</v>
      </c>
      <c r="F247" s="266" t="str">
        <f>IF(Intro!$G$20="English",Variables!B84,Variables!C84)</f>
        <v>T3 2024</v>
      </c>
      <c r="G247" s="266" t="str">
        <f>IF(Intro!$G$20="English",Variables!B74,Variables!C74)</f>
        <v>T4 2024</v>
      </c>
      <c r="H247" s="266" t="str">
        <f>IF(Intro!$G$20="English",Variables!B75,Variables!C75)</f>
        <v>T1 2025</v>
      </c>
      <c r="I247" s="266" t="str">
        <f>IF(Intro!$G$20="English",Variables!B76,Variables!C76)</f>
        <v>T2 2025</v>
      </c>
      <c r="J247" s="266" t="str">
        <f>IF(Intro!$G$20="English",Variables!B77,Variables!C77)</f>
        <v>T3 2025</v>
      </c>
      <c r="K247" s="266" t="str">
        <f>IF(Intro!$G$20="English",Variables!B78,Variables!C78)</f>
        <v>T4 2025</v>
      </c>
      <c r="L247" s="266" t="str">
        <f>IF(Intro!$G$20="English",Variables!B79,Variables!C79)</f>
        <v>T1 2026</v>
      </c>
      <c r="M247" s="10"/>
      <c r="O247" s="18"/>
    </row>
    <row r="248" spans="1:19" x14ac:dyDescent="0.25">
      <c r="B248" s="745" t="str">
        <f>B237</f>
        <v>Importations</v>
      </c>
      <c r="C248" s="746"/>
      <c r="D248" s="224" t="str">
        <f>C237</f>
        <v>tonnes</v>
      </c>
      <c r="E248" s="181"/>
      <c r="F248" s="181"/>
      <c r="G248" s="181"/>
      <c r="H248" s="181"/>
      <c r="I248" s="181"/>
      <c r="J248" s="181"/>
      <c r="K248" s="181"/>
      <c r="L248" s="181"/>
      <c r="M248" s="10"/>
    </row>
    <row r="249" spans="1:19" x14ac:dyDescent="0.25">
      <c r="B249" s="745" t="str">
        <f>IF(Intro!$G$20="English",O249,P249)</f>
        <v>Stock de clôture</v>
      </c>
      <c r="C249" s="746"/>
      <c r="D249" s="224" t="str">
        <f>C237</f>
        <v>tonnes</v>
      </c>
      <c r="E249" s="181"/>
      <c r="F249" s="181"/>
      <c r="G249" s="181"/>
      <c r="H249" s="181"/>
      <c r="I249" s="181"/>
      <c r="J249" s="181"/>
      <c r="K249" s="181"/>
      <c r="L249" s="181"/>
      <c r="M249" s="10"/>
      <c r="O249" s="10" t="s">
        <v>195</v>
      </c>
      <c r="P249" s="10" t="s">
        <v>403</v>
      </c>
    </row>
    <row r="250" spans="1:19" ht="26.25" customHeight="1" x14ac:dyDescent="0.25">
      <c r="B250" s="527" t="str">
        <f>IF(Intro!$G$20="English",O250,P250)</f>
        <v>Dans le tableau ci-dessous, « Erreur » signifie que la somme des importations trimestrielles déclarées ci-dessus dépasse les importations annuelles déclarées à la question 1. Par conséquent, veuillez modifier les données si nécessaire.</v>
      </c>
      <c r="C250" s="528"/>
      <c r="D250" s="528"/>
      <c r="E250" s="528"/>
      <c r="F250" s="528"/>
      <c r="G250" s="528"/>
      <c r="H250" s="528"/>
      <c r="I250" s="528"/>
      <c r="J250" s="528"/>
      <c r="K250" s="528"/>
      <c r="L250" s="529"/>
      <c r="M250" s="10"/>
      <c r="O250" s="10" t="s">
        <v>457</v>
      </c>
      <c r="P250" s="10" t="s">
        <v>458</v>
      </c>
      <c r="S250" s="38"/>
    </row>
    <row r="251" spans="1:19" x14ac:dyDescent="0.25">
      <c r="B251" s="527"/>
      <c r="C251" s="528"/>
      <c r="D251" s="528"/>
      <c r="E251" s="528"/>
      <c r="F251" s="528"/>
      <c r="G251" s="528"/>
      <c r="H251" s="528"/>
      <c r="I251" s="528"/>
      <c r="J251" s="528"/>
      <c r="K251" s="528"/>
      <c r="L251" s="529"/>
      <c r="M251" s="10"/>
      <c r="S251" s="38"/>
    </row>
    <row r="252" spans="1:19" x14ac:dyDescent="0.25">
      <c r="B252" s="192"/>
      <c r="C252" s="179"/>
      <c r="D252" s="194"/>
      <c r="E252" s="45"/>
      <c r="F252" s="218">
        <f>G252-1</f>
        <v>2025</v>
      </c>
      <c r="G252" s="218">
        <f>Variables!B8</f>
        <v>2026</v>
      </c>
      <c r="H252" s="193"/>
      <c r="I252" s="225"/>
      <c r="J252" s="225"/>
      <c r="K252" s="225"/>
      <c r="L252" s="160"/>
      <c r="M252" s="10"/>
      <c r="O252" s="18"/>
    </row>
    <row r="253" spans="1:19" ht="14.45" customHeight="1" x14ac:dyDescent="0.25">
      <c r="B253" s="192"/>
      <c r="C253" s="199"/>
      <c r="D253" s="781" t="str">
        <f>B221</f>
        <v>Vérification - volume</v>
      </c>
      <c r="E253" s="782"/>
      <c r="F253" s="187" t="str">
        <f>IF(SUM(H246+I246+J246+K246)&gt;I24,Variables!$D$67,Variables!$D$68)</f>
        <v>Correct</v>
      </c>
      <c r="G253" s="187" t="str">
        <f>IF(SUM(L246)&gt;K24,Variables!$D$67,Variables!$D$68)</f>
        <v>Correct</v>
      </c>
      <c r="H253" s="193"/>
      <c r="I253" s="225"/>
      <c r="J253" s="225"/>
      <c r="K253" s="225"/>
      <c r="L253" s="160"/>
      <c r="M253" s="10"/>
    </row>
    <row r="254" spans="1:19" s="44" customFormat="1" x14ac:dyDescent="0.25">
      <c r="A254" s="92"/>
      <c r="B254" s="195"/>
      <c r="C254" s="196"/>
      <c r="D254" s="197"/>
      <c r="E254" s="197"/>
      <c r="F254" s="197"/>
      <c r="G254" s="197"/>
      <c r="H254" s="197"/>
      <c r="I254" s="197"/>
      <c r="J254" s="197"/>
      <c r="K254" s="197"/>
      <c r="L254" s="198"/>
      <c r="N254" s="78"/>
    </row>
    <row r="255" spans="1:19" s="207" customFormat="1" x14ac:dyDescent="0.25">
      <c r="A255" s="7"/>
      <c r="B255" s="21" t="s">
        <v>20</v>
      </c>
      <c r="C255" s="22"/>
      <c r="D255" s="22"/>
      <c r="E255" s="23"/>
      <c r="F255" s="23"/>
      <c r="G255" s="23"/>
      <c r="H255" s="23"/>
      <c r="I255" s="23"/>
      <c r="J255" s="23"/>
      <c r="K255" s="23"/>
      <c r="L255" s="24"/>
      <c r="M255" s="73"/>
    </row>
    <row r="256" spans="1:19" s="38" customFormat="1" x14ac:dyDescent="0.25">
      <c r="A256" s="49"/>
      <c r="B256" s="53"/>
      <c r="C256" s="93"/>
      <c r="D256" s="93"/>
      <c r="E256" s="93"/>
      <c r="F256" s="93"/>
      <c r="G256" s="93"/>
      <c r="H256" s="93"/>
      <c r="I256" s="93"/>
      <c r="J256" s="93"/>
      <c r="K256" s="93"/>
      <c r="L256" s="54"/>
      <c r="O256" s="10"/>
      <c r="P256" s="10"/>
      <c r="Q256" s="10"/>
      <c r="R256" s="10"/>
    </row>
    <row r="257" spans="1:18" s="38" customFormat="1" x14ac:dyDescent="0.25">
      <c r="A257" s="49"/>
      <c r="B257" s="527" t="str">
        <f>IF(Intro!$G$20="English",O257,P257)</f>
        <v>Décrivez tous les facteurs (par exemple, les retards d’expédition, la saisonnalité, etc.) qui pourraient expliquer la tendance générale des volumes d’importation trimestriels et des stocks finals de votre entreprise, comme indiqué dans la question 6.</v>
      </c>
      <c r="C257" s="528"/>
      <c r="D257" s="528"/>
      <c r="E257" s="528"/>
      <c r="F257" s="528"/>
      <c r="G257" s="528"/>
      <c r="H257" s="528"/>
      <c r="I257" s="528"/>
      <c r="J257" s="528"/>
      <c r="K257" s="528"/>
      <c r="L257" s="529"/>
      <c r="O257" s="10" t="s">
        <v>375</v>
      </c>
      <c r="P257" s="10" t="s">
        <v>376</v>
      </c>
      <c r="Q257" s="10"/>
      <c r="R257" s="10"/>
    </row>
    <row r="258" spans="1:18" s="38" customFormat="1" x14ac:dyDescent="0.25">
      <c r="A258" s="49"/>
      <c r="B258" s="527"/>
      <c r="C258" s="528"/>
      <c r="D258" s="528"/>
      <c r="E258" s="528"/>
      <c r="F258" s="528"/>
      <c r="G258" s="528"/>
      <c r="H258" s="528"/>
      <c r="I258" s="528"/>
      <c r="J258" s="528"/>
      <c r="K258" s="528"/>
      <c r="L258" s="529"/>
      <c r="O258" s="10"/>
      <c r="P258" s="10"/>
      <c r="Q258" s="10"/>
      <c r="R258" s="10"/>
    </row>
    <row r="259" spans="1:18" s="38" customFormat="1" x14ac:dyDescent="0.25">
      <c r="A259" s="49"/>
      <c r="B259" s="53"/>
      <c r="C259" s="93"/>
      <c r="D259" s="93"/>
      <c r="E259" s="93"/>
      <c r="F259" s="93"/>
      <c r="G259" s="93"/>
      <c r="H259" s="93"/>
      <c r="I259" s="93"/>
      <c r="J259" s="93"/>
      <c r="K259" s="93"/>
      <c r="L259" s="54"/>
      <c r="O259" s="10"/>
      <c r="P259" s="10"/>
      <c r="Q259" s="10"/>
      <c r="R259" s="10"/>
    </row>
    <row r="260" spans="1:18" s="207" customFormat="1" x14ac:dyDescent="0.25">
      <c r="A260" s="8"/>
      <c r="B260" s="663"/>
      <c r="C260" s="664"/>
      <c r="D260" s="664"/>
      <c r="E260" s="664"/>
      <c r="F260" s="664"/>
      <c r="G260" s="664"/>
      <c r="H260" s="664"/>
      <c r="I260" s="664"/>
      <c r="J260" s="664"/>
      <c r="K260" s="664"/>
      <c r="L260" s="665"/>
      <c r="M260" s="38"/>
    </row>
    <row r="261" spans="1:18" s="207" customFormat="1" x14ac:dyDescent="0.25">
      <c r="A261" s="8"/>
      <c r="B261" s="663"/>
      <c r="C261" s="664"/>
      <c r="D261" s="664"/>
      <c r="E261" s="664"/>
      <c r="F261" s="664"/>
      <c r="G261" s="664"/>
      <c r="H261" s="664"/>
      <c r="I261" s="664"/>
      <c r="J261" s="664"/>
      <c r="K261" s="664"/>
      <c r="L261" s="665"/>
      <c r="M261" s="38"/>
    </row>
    <row r="262" spans="1:18" s="207" customFormat="1" x14ac:dyDescent="0.25">
      <c r="A262" s="8"/>
      <c r="B262" s="663"/>
      <c r="C262" s="664"/>
      <c r="D262" s="664"/>
      <c r="E262" s="664"/>
      <c r="F262" s="664"/>
      <c r="G262" s="664"/>
      <c r="H262" s="664"/>
      <c r="I262" s="664"/>
      <c r="J262" s="664"/>
      <c r="K262" s="664"/>
      <c r="L262" s="665"/>
      <c r="M262" s="38"/>
    </row>
    <row r="263" spans="1:18" s="207" customFormat="1" x14ac:dyDescent="0.25">
      <c r="A263" s="8"/>
      <c r="B263" s="663"/>
      <c r="C263" s="664"/>
      <c r="D263" s="664"/>
      <c r="E263" s="664"/>
      <c r="F263" s="664"/>
      <c r="G263" s="664"/>
      <c r="H263" s="664"/>
      <c r="I263" s="664"/>
      <c r="J263" s="664"/>
      <c r="K263" s="664"/>
      <c r="L263" s="665"/>
      <c r="M263" s="38"/>
    </row>
    <row r="264" spans="1:18" s="207" customFormat="1" x14ac:dyDescent="0.25">
      <c r="A264" s="8"/>
      <c r="B264" s="663"/>
      <c r="C264" s="664"/>
      <c r="D264" s="664"/>
      <c r="E264" s="664"/>
      <c r="F264" s="664"/>
      <c r="G264" s="664"/>
      <c r="H264" s="664"/>
      <c r="I264" s="664"/>
      <c r="J264" s="664"/>
      <c r="K264" s="664"/>
      <c r="L264" s="665"/>
      <c r="M264" s="38"/>
    </row>
    <row r="265" spans="1:18" s="207" customFormat="1" x14ac:dyDescent="0.25">
      <c r="A265" s="8"/>
      <c r="B265" s="663"/>
      <c r="C265" s="664"/>
      <c r="D265" s="664"/>
      <c r="E265" s="664"/>
      <c r="F265" s="664"/>
      <c r="G265" s="664"/>
      <c r="H265" s="664"/>
      <c r="I265" s="664"/>
      <c r="J265" s="664"/>
      <c r="K265" s="664"/>
      <c r="L265" s="665"/>
      <c r="M265" s="38"/>
    </row>
    <row r="266" spans="1:18" s="207" customFormat="1" x14ac:dyDescent="0.25">
      <c r="A266" s="8"/>
      <c r="B266" s="663"/>
      <c r="C266" s="664"/>
      <c r="D266" s="664"/>
      <c r="E266" s="664"/>
      <c r="F266" s="664"/>
      <c r="G266" s="664"/>
      <c r="H266" s="664"/>
      <c r="I266" s="664"/>
      <c r="J266" s="664"/>
      <c r="K266" s="664"/>
      <c r="L266" s="665"/>
      <c r="M266" s="38"/>
    </row>
    <row r="267" spans="1:18" s="207" customFormat="1" x14ac:dyDescent="0.25">
      <c r="A267" s="8"/>
      <c r="B267" s="663"/>
      <c r="C267" s="664"/>
      <c r="D267" s="664"/>
      <c r="E267" s="664"/>
      <c r="F267" s="664"/>
      <c r="G267" s="664"/>
      <c r="H267" s="664"/>
      <c r="I267" s="664"/>
      <c r="J267" s="664"/>
      <c r="K267" s="664"/>
      <c r="L267" s="665"/>
      <c r="M267" s="38"/>
    </row>
    <row r="268" spans="1:18" s="38" customFormat="1" x14ac:dyDescent="0.25">
      <c r="A268" s="49"/>
      <c r="B268" s="50"/>
      <c r="C268" s="51"/>
      <c r="D268" s="51"/>
      <c r="E268" s="51"/>
      <c r="F268" s="51"/>
      <c r="G268" s="51"/>
      <c r="H268" s="51"/>
      <c r="I268" s="51"/>
      <c r="J268" s="51"/>
      <c r="K268" s="51"/>
      <c r="L268" s="52"/>
      <c r="O268" s="10"/>
      <c r="P268" s="10"/>
      <c r="Q268" s="10"/>
      <c r="R268" s="10"/>
    </row>
  </sheetData>
  <sheetProtection algorithmName="SHA-512" hashValue="n9xa17oxPd813cqT8dU+g1sGpyrXxnXEl6DwRrWPtcO26vFhTd0R0fDoN5HHreEZv31Om7SzKT2lgA/TuGXWxg==" saltValue="Uq1LDypCdIBjKAPAThQRzw==" spinCount="100000" sheet="1" objects="1" scenarios="1" selectLockedCells="1"/>
  <mergeCells count="206">
    <mergeCell ref="B214:D214"/>
    <mergeCell ref="B215:D215"/>
    <mergeCell ref="B216:D216"/>
    <mergeCell ref="B202:L203"/>
    <mergeCell ref="B204:D204"/>
    <mergeCell ref="B205:D205"/>
    <mergeCell ref="B206:D206"/>
    <mergeCell ref="B207:L208"/>
    <mergeCell ref="B209:D209"/>
    <mergeCell ref="B210:D210"/>
    <mergeCell ref="B211:D211"/>
    <mergeCell ref="B212:L213"/>
    <mergeCell ref="D253:E253"/>
    <mergeCell ref="B257:L258"/>
    <mergeCell ref="B260:L267"/>
    <mergeCell ref="B242:L242"/>
    <mergeCell ref="B243:L243"/>
    <mergeCell ref="B245:L245"/>
    <mergeCell ref="B248:C248"/>
    <mergeCell ref="B249:C249"/>
    <mergeCell ref="B250:L251"/>
    <mergeCell ref="B232:L232"/>
    <mergeCell ref="B234:L234"/>
    <mergeCell ref="F236:G236"/>
    <mergeCell ref="B237:B239"/>
    <mergeCell ref="C237:E237"/>
    <mergeCell ref="F237:G237"/>
    <mergeCell ref="C238:E238"/>
    <mergeCell ref="F238:G238"/>
    <mergeCell ref="C239:E239"/>
    <mergeCell ref="F239:G239"/>
    <mergeCell ref="B224:F224"/>
    <mergeCell ref="B225:F225"/>
    <mergeCell ref="B226:F226"/>
    <mergeCell ref="B227:F227"/>
    <mergeCell ref="B228:F228"/>
    <mergeCell ref="B231:L231"/>
    <mergeCell ref="B218:L219"/>
    <mergeCell ref="B221:F221"/>
    <mergeCell ref="B222:F222"/>
    <mergeCell ref="B223:F223"/>
    <mergeCell ref="B197:L198"/>
    <mergeCell ref="B199:D199"/>
    <mergeCell ref="B200:D200"/>
    <mergeCell ref="B201:D201"/>
    <mergeCell ref="B190:D190"/>
    <mergeCell ref="B191:D191"/>
    <mergeCell ref="B192:L193"/>
    <mergeCell ref="B194:D194"/>
    <mergeCell ref="B195:D195"/>
    <mergeCell ref="B196:D196"/>
    <mergeCell ref="B182:L183"/>
    <mergeCell ref="B184:D184"/>
    <mergeCell ref="B185:D185"/>
    <mergeCell ref="B186:D186"/>
    <mergeCell ref="B187:L188"/>
    <mergeCell ref="B189:D189"/>
    <mergeCell ref="B175:D175"/>
    <mergeCell ref="B176:D176"/>
    <mergeCell ref="B177:L178"/>
    <mergeCell ref="B179:D179"/>
    <mergeCell ref="B180:D180"/>
    <mergeCell ref="B181:D181"/>
    <mergeCell ref="B167:L168"/>
    <mergeCell ref="B169:D169"/>
    <mergeCell ref="B170:D170"/>
    <mergeCell ref="B171:D171"/>
    <mergeCell ref="B172:L173"/>
    <mergeCell ref="B174:D174"/>
    <mergeCell ref="B157:F157"/>
    <mergeCell ref="B160:L160"/>
    <mergeCell ref="B161:L161"/>
    <mergeCell ref="B163:L163"/>
    <mergeCell ref="B164:L164"/>
    <mergeCell ref="B166:D166"/>
    <mergeCell ref="B151:F151"/>
    <mergeCell ref="B152:F152"/>
    <mergeCell ref="B153:F153"/>
    <mergeCell ref="B154:F154"/>
    <mergeCell ref="B155:F155"/>
    <mergeCell ref="B156:F156"/>
    <mergeCell ref="B131:L132"/>
    <mergeCell ref="B133:D133"/>
    <mergeCell ref="B134:D134"/>
    <mergeCell ref="B135:D135"/>
    <mergeCell ref="B147:L148"/>
    <mergeCell ref="B150:F150"/>
    <mergeCell ref="B136:L137"/>
    <mergeCell ref="B138:D138"/>
    <mergeCell ref="B139:D139"/>
    <mergeCell ref="B140:D140"/>
    <mergeCell ref="B141:L142"/>
    <mergeCell ref="B143:D143"/>
    <mergeCell ref="B144:D144"/>
    <mergeCell ref="B145:D145"/>
    <mergeCell ref="B124:D124"/>
    <mergeCell ref="B125:D125"/>
    <mergeCell ref="B126:L127"/>
    <mergeCell ref="B128:D128"/>
    <mergeCell ref="B129:D129"/>
    <mergeCell ref="B130:D130"/>
    <mergeCell ref="B116:L117"/>
    <mergeCell ref="B118:D118"/>
    <mergeCell ref="B119:D119"/>
    <mergeCell ref="B120:D120"/>
    <mergeCell ref="B121:L122"/>
    <mergeCell ref="B123:D123"/>
    <mergeCell ref="B109:D109"/>
    <mergeCell ref="B110:D110"/>
    <mergeCell ref="B111:L112"/>
    <mergeCell ref="B113:D113"/>
    <mergeCell ref="B114:D114"/>
    <mergeCell ref="B115:D115"/>
    <mergeCell ref="B101:L102"/>
    <mergeCell ref="B103:D103"/>
    <mergeCell ref="B104:D104"/>
    <mergeCell ref="B105:D105"/>
    <mergeCell ref="B106:L107"/>
    <mergeCell ref="B108:D108"/>
    <mergeCell ref="B93:L93"/>
    <mergeCell ref="B95:D95"/>
    <mergeCell ref="B96:L97"/>
    <mergeCell ref="B98:D98"/>
    <mergeCell ref="B99:D99"/>
    <mergeCell ref="B100:D100"/>
    <mergeCell ref="B84:F84"/>
    <mergeCell ref="B85:F85"/>
    <mergeCell ref="B86:F86"/>
    <mergeCell ref="B87:F87"/>
    <mergeCell ref="B90:L90"/>
    <mergeCell ref="B91:L91"/>
    <mergeCell ref="B75:D75"/>
    <mergeCell ref="B77:L78"/>
    <mergeCell ref="B80:F80"/>
    <mergeCell ref="B81:F81"/>
    <mergeCell ref="B82:F82"/>
    <mergeCell ref="B83:F83"/>
    <mergeCell ref="B69:D69"/>
    <mergeCell ref="B70:D70"/>
    <mergeCell ref="B71:D71"/>
    <mergeCell ref="B72:L72"/>
    <mergeCell ref="B73:D73"/>
    <mergeCell ref="B74:D74"/>
    <mergeCell ref="B63:D63"/>
    <mergeCell ref="B64:L64"/>
    <mergeCell ref="B65:D65"/>
    <mergeCell ref="B66:D66"/>
    <mergeCell ref="B67:D67"/>
    <mergeCell ref="B68:L68"/>
    <mergeCell ref="B57:D57"/>
    <mergeCell ref="B58:D58"/>
    <mergeCell ref="B59:D59"/>
    <mergeCell ref="B60:L60"/>
    <mergeCell ref="B61:D61"/>
    <mergeCell ref="B62:D62"/>
    <mergeCell ref="B49:L49"/>
    <mergeCell ref="B50:L50"/>
    <mergeCell ref="B52:L52"/>
    <mergeCell ref="B53:L53"/>
    <mergeCell ref="B55:D55"/>
    <mergeCell ref="B56:L56"/>
    <mergeCell ref="B41:C43"/>
    <mergeCell ref="D41:F41"/>
    <mergeCell ref="D42:F42"/>
    <mergeCell ref="D43:F43"/>
    <mergeCell ref="B44:C46"/>
    <mergeCell ref="D44:F44"/>
    <mergeCell ref="D45:F45"/>
    <mergeCell ref="D46:F46"/>
    <mergeCell ref="B37:K37"/>
    <mergeCell ref="B38:C40"/>
    <mergeCell ref="D38:F38"/>
    <mergeCell ref="D39:F39"/>
    <mergeCell ref="D40:F40"/>
    <mergeCell ref="B30:K30"/>
    <mergeCell ref="B31:C33"/>
    <mergeCell ref="D31:F31"/>
    <mergeCell ref="D32:F32"/>
    <mergeCell ref="D33:F33"/>
    <mergeCell ref="B34:C36"/>
    <mergeCell ref="D34:F34"/>
    <mergeCell ref="D35:F35"/>
    <mergeCell ref="D36:F36"/>
    <mergeCell ref="B25:K25"/>
    <mergeCell ref="B26:C28"/>
    <mergeCell ref="D26:F26"/>
    <mergeCell ref="D27:F27"/>
    <mergeCell ref="D28:F28"/>
    <mergeCell ref="B29:K29"/>
    <mergeCell ref="B18:L18"/>
    <mergeCell ref="B19:L19"/>
    <mergeCell ref="B21:F21"/>
    <mergeCell ref="G21:K21"/>
    <mergeCell ref="B22:F22"/>
    <mergeCell ref="G22:K22"/>
    <mergeCell ref="B10:L10"/>
    <mergeCell ref="B12:L12"/>
    <mergeCell ref="B13:L13"/>
    <mergeCell ref="B14:L14"/>
    <mergeCell ref="B15:L15"/>
    <mergeCell ref="B16:L16"/>
    <mergeCell ref="B4:L4"/>
    <mergeCell ref="B5:L5"/>
    <mergeCell ref="B6:L6"/>
    <mergeCell ref="B8:L8"/>
    <mergeCell ref="B9:L9"/>
  </mergeCells>
  <conditionalFormatting sqref="F253:G253">
    <cfRule type="cellIs" dxfId="26" priority="5" operator="equal">
      <formula>"Error"</formula>
    </cfRule>
  </conditionalFormatting>
  <conditionalFormatting sqref="G81:J83 G85:J87">
    <cfRule type="cellIs" dxfId="25" priority="17" operator="equal">
      <formula>"Error"</formula>
    </cfRule>
  </conditionalFormatting>
  <conditionalFormatting sqref="G151:J153">
    <cfRule type="cellIs" dxfId="24" priority="4" operator="equal">
      <formula>"Error"</formula>
    </cfRule>
  </conditionalFormatting>
  <conditionalFormatting sqref="G155:J157">
    <cfRule type="cellIs" dxfId="23" priority="3" operator="equal">
      <formula>"Error"</formula>
    </cfRule>
  </conditionalFormatting>
  <conditionalFormatting sqref="G222:J224">
    <cfRule type="cellIs" dxfId="22" priority="2" operator="equal">
      <formula>"Error"</formula>
    </cfRule>
  </conditionalFormatting>
  <conditionalFormatting sqref="G226:J228">
    <cfRule type="cellIs" dxfId="21" priority="1"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8BBD0976-68B7-4A98-BF6B-AB4CB413921A}">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2 B260:B262" xr:uid="{F011552D-4C6B-423A-98EA-E39339BAB6BA}">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60 F239 E67:L67 E71:L71 E201:L201 E130:L130 E135:L135 E63:L63 E59:L59 E75:L75 E100:L100 E105:L105 E110:L110 E115:L115 E120:L120 E125:L125 G43:K46 E171:L171 E176:L176 E181:L181 E186:L186 E191:L191 E196:L196 E211:L211 G28:K28 E145:L145 G151:J153 G81:J83 G85:J87 G222:J224 G33:K33 G36:K36 G40:K40 F253:G253 E140:L140 G155:J157 E216:L216 E206:L206 G226:J228" xr:uid="{9AB0EA08-7601-4C0E-A251-2DE61165169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21:L122 E248:L249 F237:G238 E199:L200 E194:L195 E189:L190 E184:L185 E179:L180 E174:L175 E169:L170 E133:L134 E128:L129 E123:L124 E118:L119 E113:L114 E108:L109 E103:L104 E98:L99 E73:L74 E69:L70 E65:L66 E61:L62 E57:L58 G34:K35 G31:K32 G26:K27 G41:K42 G38:K39 E143:L144 E138:L139 E214:L215 E209:L210 E204:L205" xr:uid="{AC3EDD34-EB2C-4EC9-8638-15CB13B2DC07}">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47" min="1" max="11" man="1"/>
    <brk id="88" min="1" max="11" man="1"/>
    <brk id="158" min="1" max="11" man="1"/>
    <brk id="229" min="1" max="11"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9768F-771C-4495-B23E-C6290F9C6522}">
  <sheetPr>
    <tabColor rgb="FF92D050"/>
    <pageSetUpPr fitToPage="1"/>
  </sheetPr>
  <dimension ref="A1:S270"/>
  <sheetViews>
    <sheetView showGridLines="0" zoomScaleNormal="100" zoomScaleSheetLayoutView="55" workbookViewId="0">
      <selection activeCell="O1" sqref="O1:P1048576"/>
    </sheetView>
  </sheetViews>
  <sheetFormatPr defaultColWidth="9.140625" defaultRowHeight="14.25" x14ac:dyDescent="0.25"/>
  <cols>
    <col min="1" max="1" width="1.85546875" style="7" customWidth="1"/>
    <col min="2" max="12" width="14.5703125" style="1" customWidth="1"/>
    <col min="13" max="13" width="6.140625" style="9" customWidth="1"/>
    <col min="14" max="14" width="9.140625" style="10" customWidth="1"/>
    <col min="15" max="15" width="10.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Pro!B2</f>
        <v>PROTÉGÉ</v>
      </c>
      <c r="C2" s="12"/>
      <c r="D2" s="12"/>
      <c r="O2" s="207" t="s">
        <v>93</v>
      </c>
      <c r="P2" s="207" t="s">
        <v>109</v>
      </c>
    </row>
    <row r="3" spans="1:16" x14ac:dyDescent="0.25">
      <c r="B3" s="13"/>
      <c r="C3" s="13"/>
      <c r="D3" s="13"/>
      <c r="O3" s="2"/>
      <c r="P3" s="2"/>
    </row>
    <row r="4" spans="1:16" s="2" customFormat="1" x14ac:dyDescent="0.25">
      <c r="A4" s="33"/>
      <c r="B4" s="615" t="str">
        <f>Info!B4</f>
        <v>QUESTIONNAIRE À L'INTENTION DES IMPORTATEURS</v>
      </c>
      <c r="C4" s="616"/>
      <c r="D4" s="616"/>
      <c r="E4" s="616"/>
      <c r="F4" s="616"/>
      <c r="G4" s="616"/>
      <c r="H4" s="616"/>
      <c r="I4" s="616"/>
      <c r="J4" s="616"/>
      <c r="K4" s="616"/>
      <c r="L4" s="617"/>
      <c r="M4" s="25"/>
      <c r="N4" s="25"/>
      <c r="O4" s="19"/>
      <c r="P4" s="19"/>
    </row>
    <row r="5" spans="1:16" s="2" customFormat="1" x14ac:dyDescent="0.25">
      <c r="A5" s="33"/>
      <c r="B5" s="651" t="str">
        <f>Info!B5</f>
        <v>NQ-2026-001</v>
      </c>
      <c r="C5" s="652"/>
      <c r="D5" s="652"/>
      <c r="E5" s="652"/>
      <c r="F5" s="652"/>
      <c r="G5" s="652"/>
      <c r="H5" s="652"/>
      <c r="I5" s="652"/>
      <c r="J5" s="652"/>
      <c r="K5" s="652"/>
      <c r="L5" s="653"/>
      <c r="M5" s="25"/>
      <c r="N5" s="25"/>
      <c r="O5" s="19"/>
      <c r="P5" s="19"/>
    </row>
    <row r="6" spans="1:16" s="6" customFormat="1" x14ac:dyDescent="0.25">
      <c r="A6" s="33"/>
      <c r="B6" s="651" t="str">
        <f>Info!B6</f>
        <v>TUBAGES DE PUITS DE GAZ ET DE PÉTROLE</v>
      </c>
      <c r="C6" s="652"/>
      <c r="D6" s="652"/>
      <c r="E6" s="652"/>
      <c r="F6" s="652"/>
      <c r="G6" s="652"/>
      <c r="H6" s="652"/>
      <c r="I6" s="652"/>
      <c r="J6" s="652"/>
      <c r="K6" s="652"/>
      <c r="L6" s="653"/>
      <c r="M6" s="19"/>
      <c r="N6" s="19"/>
      <c r="O6" s="15"/>
      <c r="P6" s="15"/>
    </row>
    <row r="7" spans="1:16" s="6" customFormat="1" x14ac:dyDescent="0.25">
      <c r="A7" s="33"/>
      <c r="B7" s="154"/>
      <c r="C7" s="155"/>
      <c r="D7" s="155"/>
      <c r="E7" s="155"/>
      <c r="F7" s="155"/>
      <c r="G7" s="155"/>
      <c r="H7" s="155"/>
      <c r="I7" s="155"/>
      <c r="J7" s="155"/>
      <c r="K7" s="155"/>
      <c r="L7" s="156"/>
      <c r="M7" s="19"/>
      <c r="N7" s="19"/>
      <c r="O7" s="20"/>
    </row>
    <row r="8" spans="1:16" s="6" customFormat="1" x14ac:dyDescent="0.25">
      <c r="A8" s="33"/>
      <c r="B8" s="657" t="str">
        <f>Public!B8</f>
        <v>Les marchandises dans les questions suivantes font référence aux marchandises comme définies dans la description du produit de l'onglet Intro.</v>
      </c>
      <c r="C8" s="658"/>
      <c r="D8" s="658"/>
      <c r="E8" s="658"/>
      <c r="F8" s="658"/>
      <c r="G8" s="658"/>
      <c r="H8" s="658"/>
      <c r="I8" s="658"/>
      <c r="J8" s="658"/>
      <c r="K8" s="658"/>
      <c r="L8" s="659"/>
      <c r="M8" s="19"/>
      <c r="N8" s="19"/>
      <c r="O8" s="15"/>
      <c r="P8" s="15"/>
    </row>
    <row r="9" spans="1:16" s="6" customFormat="1" x14ac:dyDescent="0.25">
      <c r="A9" s="33"/>
      <c r="B9" s="657" t="str">
        <f>Public!B9</f>
        <v>Des informations sur le produit et un glossaire de termes sont disponibles dans l'onglet Info.</v>
      </c>
      <c r="C9" s="658"/>
      <c r="D9" s="658"/>
      <c r="E9" s="658"/>
      <c r="F9" s="658"/>
      <c r="G9" s="658"/>
      <c r="H9" s="658"/>
      <c r="I9" s="658"/>
      <c r="J9" s="658"/>
      <c r="K9" s="658"/>
      <c r="L9" s="659"/>
      <c r="M9" s="19"/>
      <c r="N9" s="19"/>
      <c r="O9" s="15"/>
    </row>
    <row r="10" spans="1:16" s="6" customFormat="1" x14ac:dyDescent="0.25">
      <c r="A10" s="33"/>
      <c r="B10" s="657" t="str">
        <f>Pro!B12</f>
        <v>Pour les questions de cet onglet, notez ce qui suit :</v>
      </c>
      <c r="C10" s="658"/>
      <c r="D10" s="658"/>
      <c r="E10" s="658"/>
      <c r="F10" s="658"/>
      <c r="G10" s="658"/>
      <c r="H10" s="658"/>
      <c r="I10" s="658"/>
      <c r="J10" s="658"/>
      <c r="K10" s="658"/>
      <c r="L10" s="659"/>
      <c r="M10" s="19"/>
      <c r="N10" s="19"/>
      <c r="O10" s="15"/>
      <c r="P10" s="15"/>
    </row>
    <row r="11" spans="1:16" s="6" customFormat="1" ht="9" customHeight="1" x14ac:dyDescent="0.25">
      <c r="A11" s="33"/>
      <c r="B11" s="262"/>
      <c r="C11" s="263"/>
      <c r="D11" s="263"/>
      <c r="E11" s="263"/>
      <c r="F11" s="263"/>
      <c r="G11" s="263"/>
      <c r="H11" s="263"/>
      <c r="I11" s="263"/>
      <c r="J11" s="263"/>
      <c r="K11" s="263"/>
      <c r="L11" s="264"/>
      <c r="M11" s="19"/>
      <c r="N11" s="19"/>
      <c r="O11" s="15"/>
      <c r="P11" s="15"/>
    </row>
    <row r="12" spans="1:16" s="6" customFormat="1" ht="29.25" customHeight="1" x14ac:dyDescent="0.25">
      <c r="A12" s="33"/>
      <c r="B12" s="721" t="str">
        <f>Pro!B13</f>
        <v xml:space="preserve">• Veuillez indiquer seulement les ventes effectuées à partir des importations de votre entreprise. Les ventes de marchandises achetées auprès de producteurs canadiens doivent être exclues. </v>
      </c>
      <c r="C12" s="722"/>
      <c r="D12" s="722"/>
      <c r="E12" s="722"/>
      <c r="F12" s="722"/>
      <c r="G12" s="722"/>
      <c r="H12" s="722"/>
      <c r="I12" s="722"/>
      <c r="J12" s="722"/>
      <c r="K12" s="722"/>
      <c r="L12" s="723"/>
      <c r="M12" s="19"/>
      <c r="N12" s="19"/>
      <c r="O12" s="15"/>
      <c r="P12" s="15"/>
    </row>
    <row r="13" spans="1:16" s="6" customFormat="1" x14ac:dyDescent="0.25">
      <c r="A13" s="33"/>
      <c r="B13" s="657" t="str">
        <f>Pro!B14</f>
        <v>• Déclarez toutes les ventes aux entreprises associées canadiennes et étrangères.</v>
      </c>
      <c r="C13" s="658"/>
      <c r="D13" s="658"/>
      <c r="E13" s="658"/>
      <c r="F13" s="658"/>
      <c r="G13" s="658"/>
      <c r="H13" s="658"/>
      <c r="I13" s="658"/>
      <c r="J13" s="658"/>
      <c r="K13" s="658"/>
      <c r="L13" s="659"/>
      <c r="M13" s="19"/>
      <c r="N13" s="19"/>
      <c r="O13" s="15"/>
      <c r="P13" s="15"/>
    </row>
    <row r="14" spans="1:16" s="6" customFormat="1" x14ac:dyDescent="0.25">
      <c r="A14" s="33"/>
      <c r="B14" s="657" t="str">
        <f>Pro!B15</f>
        <v>• Déclarez toutes les ventes à compter de la date de l’expédition au client ou à son entrepôt.</v>
      </c>
      <c r="C14" s="658"/>
      <c r="D14" s="658"/>
      <c r="E14" s="658"/>
      <c r="F14" s="658"/>
      <c r="G14" s="658"/>
      <c r="H14" s="658"/>
      <c r="I14" s="658"/>
      <c r="J14" s="658"/>
      <c r="K14" s="658"/>
      <c r="L14" s="659"/>
      <c r="M14" s="19"/>
      <c r="N14" s="19"/>
      <c r="O14" s="15"/>
      <c r="P14" s="15"/>
    </row>
    <row r="15" spans="1:16" s="6" customFormat="1" x14ac:dyDescent="0.25">
      <c r="A15" s="33"/>
      <c r="B15" s="657" t="str">
        <f>Pro!B16</f>
        <v>• Déclarez toutes les valeurs en dollars canadiens.</v>
      </c>
      <c r="C15" s="658"/>
      <c r="D15" s="658"/>
      <c r="E15" s="658"/>
      <c r="F15" s="658"/>
      <c r="G15" s="658"/>
      <c r="H15" s="658"/>
      <c r="I15" s="658"/>
      <c r="J15" s="658"/>
      <c r="K15" s="658"/>
      <c r="L15" s="659"/>
      <c r="M15" s="19"/>
      <c r="N15" s="19"/>
      <c r="O15" s="15"/>
      <c r="P15" s="15"/>
    </row>
    <row r="16" spans="1:16" s="6" customFormat="1" x14ac:dyDescent="0.25">
      <c r="A16" s="33"/>
      <c r="B16" s="660" t="str">
        <f>IF(Intro!$G$20="English",O16,P16)</f>
        <v>• Si votre entreprise est un utilisateur final ou un détaillant, elle n’a pas besoin de déclarer ses ventes d’importations ou ses stocks d’importations.</v>
      </c>
      <c r="C16" s="661"/>
      <c r="D16" s="661"/>
      <c r="E16" s="661"/>
      <c r="F16" s="661"/>
      <c r="G16" s="661"/>
      <c r="H16" s="661"/>
      <c r="I16" s="661"/>
      <c r="J16" s="661"/>
      <c r="K16" s="661"/>
      <c r="L16" s="662"/>
      <c r="M16" s="19"/>
      <c r="N16" s="19"/>
      <c r="O16" s="15" t="s">
        <v>263</v>
      </c>
      <c r="P16" s="15" t="s">
        <v>264</v>
      </c>
    </row>
    <row r="17" spans="1:16" s="6" customFormat="1" x14ac:dyDescent="0.25">
      <c r="A17" s="33"/>
      <c r="B17" s="263"/>
      <c r="C17" s="263"/>
      <c r="D17" s="263"/>
      <c r="E17" s="263"/>
      <c r="F17" s="263"/>
      <c r="G17" s="263"/>
      <c r="H17" s="263"/>
      <c r="I17" s="263"/>
      <c r="J17" s="263"/>
      <c r="K17" s="263"/>
      <c r="L17" s="263"/>
      <c r="M17" s="19"/>
      <c r="N17" s="19"/>
      <c r="O17" s="15"/>
      <c r="P17" s="15"/>
    </row>
    <row r="18" spans="1:16" s="6" customFormat="1" x14ac:dyDescent="0.25">
      <c r="A18" s="33"/>
      <c r="B18" s="14"/>
      <c r="C18" s="14"/>
      <c r="D18" s="14"/>
      <c r="E18" s="3"/>
      <c r="F18" s="3"/>
      <c r="G18" s="3"/>
      <c r="H18" s="3"/>
      <c r="I18" s="3"/>
      <c r="J18" s="3"/>
      <c r="K18" s="3"/>
      <c r="L18" s="3"/>
      <c r="O18" s="15"/>
      <c r="P18" s="15"/>
    </row>
    <row r="19" spans="1:16" x14ac:dyDescent="0.25">
      <c r="B19" s="533" t="str">
        <f>IF(Intro!$G$20="English",O19,P19)</f>
        <v>IMPORTATIONS ET VENTES</v>
      </c>
      <c r="C19" s="534"/>
      <c r="D19" s="534"/>
      <c r="E19" s="534"/>
      <c r="F19" s="534"/>
      <c r="G19" s="534"/>
      <c r="H19" s="534"/>
      <c r="I19" s="534"/>
      <c r="J19" s="534"/>
      <c r="K19" s="534"/>
      <c r="L19" s="535"/>
      <c r="M19" s="10"/>
      <c r="O19" s="105" t="s">
        <v>333</v>
      </c>
      <c r="P19" s="105" t="s">
        <v>334</v>
      </c>
    </row>
    <row r="20" spans="1:16" x14ac:dyDescent="0.25">
      <c r="B20" s="671" t="s">
        <v>12</v>
      </c>
      <c r="C20" s="672"/>
      <c r="D20" s="672"/>
      <c r="E20" s="672"/>
      <c r="F20" s="672"/>
      <c r="G20" s="672"/>
      <c r="H20" s="672"/>
      <c r="I20" s="672"/>
      <c r="J20" s="672"/>
      <c r="K20" s="672"/>
      <c r="L20" s="673"/>
      <c r="M20" s="10"/>
    </row>
    <row r="21" spans="1:16" x14ac:dyDescent="0.25">
      <c r="B21" s="16"/>
      <c r="C21" s="35"/>
      <c r="D21" s="35"/>
      <c r="E21" s="36"/>
      <c r="F21" s="36"/>
      <c r="G21" s="36"/>
      <c r="H21" s="36"/>
      <c r="I21" s="36"/>
      <c r="J21" s="36"/>
      <c r="K21" s="36"/>
      <c r="L21" s="17"/>
      <c r="M21" s="10"/>
    </row>
    <row r="22" spans="1:16" ht="78" customHeight="1" x14ac:dyDescent="0.25">
      <c r="B22" s="713" t="str">
        <f>IF(Intro!$G$20="English",O22,P22)</f>
        <v>Fournissez les importations et les ventes d'importations des marchandises importées des pays ayant des mesures en vigueurplace :</v>
      </c>
      <c r="C22" s="715"/>
      <c r="D22" s="715"/>
      <c r="E22" s="715"/>
      <c r="F22" s="715"/>
      <c r="G22" s="739" t="str">
        <f>IF(Intro!$G$20="English",Variables!B52,Variables!C52)</f>
        <v>Chine, Taipei chinois, Inde, Indonésie, Corée du Sud, Thaïlande, Türkiye, Ukraine et Vietnam (excluant les marchandises exportées de la Corée du Sud par Hyundai Steel Company, et les marchandises exportées de Turquie par Borusan Mannesmann Boru Sanayi ve Ticaret A.Ş.)</v>
      </c>
      <c r="H22" s="739"/>
      <c r="I22" s="739"/>
      <c r="J22" s="739"/>
      <c r="K22" s="739"/>
      <c r="L22" s="235"/>
      <c r="M22" s="10"/>
      <c r="O22" s="10" t="s">
        <v>544</v>
      </c>
      <c r="P22" s="10" t="s">
        <v>545</v>
      </c>
    </row>
    <row r="23" spans="1:16" x14ac:dyDescent="0.25">
      <c r="B23" s="131"/>
      <c r="C23" s="132"/>
      <c r="D23" s="132"/>
      <c r="E23" s="132"/>
      <c r="F23" s="132"/>
      <c r="G23" s="36"/>
      <c r="H23" s="36"/>
      <c r="I23" s="36"/>
      <c r="J23" s="36"/>
      <c r="K23" s="36"/>
      <c r="L23" s="17"/>
      <c r="M23" s="10"/>
    </row>
    <row r="24" spans="1:16" x14ac:dyDescent="0.25">
      <c r="B24" s="131"/>
      <c r="C24" s="132"/>
      <c r="D24" s="132"/>
      <c r="E24" s="132"/>
      <c r="F24" s="132"/>
      <c r="G24" s="239">
        <f>Variables!$B$6</f>
        <v>2023</v>
      </c>
      <c r="H24" s="239">
        <f>G24+1</f>
        <v>2024</v>
      </c>
      <c r="I24" s="239">
        <f>H24+1</f>
        <v>2025</v>
      </c>
      <c r="J24" s="239" t="str">
        <f>IF(Intro!$G$20="English",Variables!B9,Variables!C9)</f>
        <v>janv.-mars 2025</v>
      </c>
      <c r="K24" s="239" t="str">
        <f>IF(Intro!$G$20="English",Variables!B10,Variables!C10)</f>
        <v>janv.-mars 2026</v>
      </c>
      <c r="L24" s="71"/>
      <c r="M24" s="10"/>
      <c r="O24" s="18"/>
    </row>
    <row r="25" spans="1:16" s="207" customFormat="1" x14ac:dyDescent="0.25">
      <c r="A25" s="32"/>
      <c r="B25" s="729" t="str">
        <f>IF(Intro!$G$20="English",O25,P25)</f>
        <v>Importations au Canada</v>
      </c>
      <c r="C25" s="730"/>
      <c r="D25" s="730"/>
      <c r="E25" s="730"/>
      <c r="F25" s="730"/>
      <c r="G25" s="730"/>
      <c r="H25" s="730"/>
      <c r="I25" s="730"/>
      <c r="J25" s="730"/>
      <c r="K25" s="730"/>
      <c r="L25" s="71"/>
      <c r="O25" s="26" t="s">
        <v>234</v>
      </c>
      <c r="P25" s="207" t="s">
        <v>235</v>
      </c>
    </row>
    <row r="26" spans="1:16" x14ac:dyDescent="0.25">
      <c r="B26" s="736" t="str">
        <f>IF(Intro!$G$20="English",O26,P26)</f>
        <v>Importations</v>
      </c>
      <c r="C26" s="737"/>
      <c r="D26" s="738" t="str">
        <f>IF(Intro!$G$20="English",Variables!$B$23,Variables!$C$23)</f>
        <v>tonnes</v>
      </c>
      <c r="E26" s="738"/>
      <c r="F26" s="738"/>
      <c r="G26" s="133"/>
      <c r="H26" s="133"/>
      <c r="I26" s="133"/>
      <c r="J26" s="133"/>
      <c r="K26" s="127"/>
      <c r="L26" s="71"/>
      <c r="M26" s="10"/>
      <c r="O26" s="10" t="s">
        <v>91</v>
      </c>
      <c r="P26" s="10" t="s">
        <v>170</v>
      </c>
    </row>
    <row r="27" spans="1:16" x14ac:dyDescent="0.25">
      <c r="B27" s="736"/>
      <c r="C27" s="737"/>
      <c r="D27" s="738" t="str">
        <f>IF(Intro!$G$20="English",O27,P27)</f>
        <v>valeur d'achat nette rendue (CAD)</v>
      </c>
      <c r="E27" s="738"/>
      <c r="F27" s="738"/>
      <c r="G27" s="133"/>
      <c r="H27" s="133"/>
      <c r="I27" s="133"/>
      <c r="J27" s="133"/>
      <c r="K27" s="127"/>
      <c r="L27" s="71"/>
      <c r="M27" s="10"/>
      <c r="O27" s="10" t="s">
        <v>341</v>
      </c>
      <c r="P27" s="10" t="s">
        <v>340</v>
      </c>
    </row>
    <row r="28" spans="1:16" x14ac:dyDescent="0.25">
      <c r="B28" s="736"/>
      <c r="C28" s="737"/>
      <c r="D28" s="738" t="str">
        <f>"$ / "&amp;IF(Intro!$G$20="English",Variables!$B$24,Variables!$C$24)</f>
        <v>$ / tonne</v>
      </c>
      <c r="E28" s="738"/>
      <c r="F28" s="738"/>
      <c r="G28" s="150" t="str">
        <f>IF(G26=0,"-",G27/G26)</f>
        <v>-</v>
      </c>
      <c r="H28" s="150" t="str">
        <f>IF(H26=0,"-",H27/H26)</f>
        <v>-</v>
      </c>
      <c r="I28" s="150" t="str">
        <f t="shared" ref="I28:K28" si="0">IF(I26=0,"-",I27/I26)</f>
        <v>-</v>
      </c>
      <c r="J28" s="150" t="str">
        <f t="shared" si="0"/>
        <v>-</v>
      </c>
      <c r="K28" s="150" t="str">
        <f t="shared" si="0"/>
        <v>-</v>
      </c>
      <c r="L28" s="71"/>
      <c r="M28" s="10"/>
    </row>
    <row r="29" spans="1:16" s="207" customFormat="1" x14ac:dyDescent="0.25">
      <c r="A29" s="32"/>
      <c r="B29" s="731" t="str">
        <f>IF(Intro!$G$20="English",O29,P29)</f>
        <v>Ventes au Canada</v>
      </c>
      <c r="C29" s="732"/>
      <c r="D29" s="732"/>
      <c r="E29" s="732"/>
      <c r="F29" s="732"/>
      <c r="G29" s="732"/>
      <c r="H29" s="732"/>
      <c r="I29" s="732"/>
      <c r="J29" s="732"/>
      <c r="K29" s="732"/>
      <c r="L29" s="71"/>
      <c r="O29" s="26" t="s">
        <v>236</v>
      </c>
      <c r="P29" s="207" t="s">
        <v>237</v>
      </c>
    </row>
    <row r="30" spans="1:16" s="207" customFormat="1" x14ac:dyDescent="0.25">
      <c r="A30" s="32"/>
      <c r="B30" s="731" t="str">
        <f>IF(Intro!$G$20="English",O30,P30)</f>
        <v>Sans soudure</v>
      </c>
      <c r="C30" s="732"/>
      <c r="D30" s="732"/>
      <c r="E30" s="732"/>
      <c r="F30" s="732"/>
      <c r="G30" s="732"/>
      <c r="H30" s="732"/>
      <c r="I30" s="732"/>
      <c r="J30" s="732"/>
      <c r="K30" s="732"/>
      <c r="L30" s="71"/>
      <c r="O30" s="26" t="s">
        <v>485</v>
      </c>
      <c r="P30" s="207" t="s">
        <v>508</v>
      </c>
    </row>
    <row r="31" spans="1:16" x14ac:dyDescent="0.25">
      <c r="B31" s="567" t="str">
        <f>IF(Intro!$G$20="English",O31,P31)</f>
        <v>Ventes aux distributeurs au Canada</v>
      </c>
      <c r="C31" s="568"/>
      <c r="D31" s="738" t="str">
        <f>D26</f>
        <v>tonnes</v>
      </c>
      <c r="E31" s="738"/>
      <c r="F31" s="738"/>
      <c r="G31" s="133"/>
      <c r="H31" s="133"/>
      <c r="I31" s="133"/>
      <c r="J31" s="133"/>
      <c r="K31" s="127"/>
      <c r="L31" s="71"/>
      <c r="M31" s="10"/>
      <c r="O31" s="10" t="str">
        <f>"Sales to "&amp;Variables!$B$26&amp;" in Canada"</f>
        <v>Sales to distributors in Canada</v>
      </c>
      <c r="P31" s="10" t="str">
        <f>"Ventes aux "&amp;Variables!$C$26&amp;" au Canada"</f>
        <v>Ventes aux distributeurs au Canada</v>
      </c>
    </row>
    <row r="32" spans="1:16" x14ac:dyDescent="0.25">
      <c r="B32" s="567"/>
      <c r="C32" s="568"/>
      <c r="D32" s="738" t="str">
        <f>IF(Intro!$G$20="English",O32,P32)</f>
        <v>valeur de vente nette rendue (CAD)</v>
      </c>
      <c r="E32" s="738"/>
      <c r="F32" s="738"/>
      <c r="G32" s="133"/>
      <c r="H32" s="133"/>
      <c r="I32" s="133"/>
      <c r="J32" s="133"/>
      <c r="K32" s="127"/>
      <c r="L32" s="71"/>
      <c r="M32" s="10"/>
      <c r="O32" s="10" t="s">
        <v>343</v>
      </c>
      <c r="P32" s="10" t="s">
        <v>342</v>
      </c>
    </row>
    <row r="33" spans="1:16" ht="15" thickBot="1" x14ac:dyDescent="0.3">
      <c r="B33" s="749"/>
      <c r="C33" s="750"/>
      <c r="D33" s="740" t="str">
        <f>D28</f>
        <v>$ / tonne</v>
      </c>
      <c r="E33" s="740"/>
      <c r="F33" s="740"/>
      <c r="G33" s="150" t="str">
        <f>IF(G31=0,"-",G32/G31)</f>
        <v>-</v>
      </c>
      <c r="H33" s="150" t="str">
        <f>IF(H31=0,"-",H32/H31)</f>
        <v>-</v>
      </c>
      <c r="I33" s="150" t="str">
        <f t="shared" ref="I33:K33" si="1">IF(I31=0,"-",I32/I31)</f>
        <v>-</v>
      </c>
      <c r="J33" s="150" t="str">
        <f t="shared" si="1"/>
        <v>-</v>
      </c>
      <c r="K33" s="150" t="str">
        <f t="shared" si="1"/>
        <v>-</v>
      </c>
      <c r="L33" s="71"/>
      <c r="M33" s="10"/>
      <c r="P33" s="10" t="s">
        <v>520</v>
      </c>
    </row>
    <row r="34" spans="1:16" x14ac:dyDescent="0.25">
      <c r="B34" s="751" t="str">
        <f>IF(Intro!$G$20="English",O34,P34)</f>
        <v>Ventes aux utilisateurs finals au Canada</v>
      </c>
      <c r="C34" s="752"/>
      <c r="D34" s="741" t="str">
        <f t="shared" ref="D34:D35" si="2">D31</f>
        <v>tonnes</v>
      </c>
      <c r="E34" s="741"/>
      <c r="F34" s="741"/>
      <c r="G34" s="133"/>
      <c r="H34" s="133"/>
      <c r="I34" s="133"/>
      <c r="J34" s="133"/>
      <c r="K34" s="127"/>
      <c r="L34" s="71"/>
      <c r="M34" s="10"/>
      <c r="O34" s="10" t="str">
        <f>"Sales to "&amp;Variables!$B$27&amp;" in Canada"</f>
        <v>Sales to end users in Canada</v>
      </c>
      <c r="P34" s="10" t="str">
        <f>"Ventes aux "&amp;Variables!$C$27&amp;" au Canada"</f>
        <v>Ventes aux utilisateurs finals au Canada</v>
      </c>
    </row>
    <row r="35" spans="1:16" x14ac:dyDescent="0.25">
      <c r="B35" s="567"/>
      <c r="C35" s="568"/>
      <c r="D35" s="738" t="str">
        <f t="shared" si="2"/>
        <v>valeur de vente nette rendue (CAD)</v>
      </c>
      <c r="E35" s="738"/>
      <c r="F35" s="738"/>
      <c r="G35" s="133"/>
      <c r="H35" s="133"/>
      <c r="I35" s="133"/>
      <c r="J35" s="133"/>
      <c r="K35" s="127"/>
      <c r="L35" s="71"/>
      <c r="M35" s="10"/>
    </row>
    <row r="36" spans="1:16" ht="15" thickBot="1" x14ac:dyDescent="0.3">
      <c r="B36" s="749"/>
      <c r="C36" s="750"/>
      <c r="D36" s="740" t="str">
        <f>D33</f>
        <v>$ / tonne</v>
      </c>
      <c r="E36" s="740"/>
      <c r="F36" s="740"/>
      <c r="G36" s="150" t="str">
        <f>IF(G34=0,"-",G35/G34)</f>
        <v>-</v>
      </c>
      <c r="H36" s="150" t="str">
        <f>IF(H34=0,"-",H35/H34)</f>
        <v>-</v>
      </c>
      <c r="I36" s="150" t="str">
        <f>IF(I34=0,"-",I35/I34)</f>
        <v>-</v>
      </c>
      <c r="J36" s="150" t="str">
        <f>IF(J34=0,"-",J35/J34)</f>
        <v>-</v>
      </c>
      <c r="K36" s="150" t="str">
        <f>IF(K34=0,"-",K35/K34)</f>
        <v>-</v>
      </c>
      <c r="L36" s="71"/>
      <c r="M36" s="10"/>
    </row>
    <row r="37" spans="1:16" x14ac:dyDescent="0.25">
      <c r="B37" s="731" t="str">
        <f>IF(Intro!$G$20="English",O37,P37)</f>
        <v>Soudé</v>
      </c>
      <c r="C37" s="732"/>
      <c r="D37" s="732"/>
      <c r="E37" s="732"/>
      <c r="F37" s="732"/>
      <c r="G37" s="732"/>
      <c r="H37" s="732"/>
      <c r="I37" s="732"/>
      <c r="J37" s="732"/>
      <c r="K37" s="732"/>
      <c r="L37" s="71"/>
      <c r="M37" s="10"/>
      <c r="O37" s="26" t="s">
        <v>486</v>
      </c>
      <c r="P37" s="207" t="s">
        <v>509</v>
      </c>
    </row>
    <row r="38" spans="1:16" x14ac:dyDescent="0.25">
      <c r="B38" s="567" t="str">
        <f>IF(Intro!$G$20="English",O31,P31)</f>
        <v>Ventes aux distributeurs au Canada</v>
      </c>
      <c r="C38" s="568"/>
      <c r="D38" s="738" t="str">
        <f>D34</f>
        <v>tonnes</v>
      </c>
      <c r="E38" s="738"/>
      <c r="F38" s="738"/>
      <c r="G38" s="133"/>
      <c r="H38" s="133"/>
      <c r="I38" s="133"/>
      <c r="J38" s="133"/>
      <c r="K38" s="127"/>
      <c r="L38" s="71"/>
      <c r="M38" s="10"/>
      <c r="O38" s="10" t="s">
        <v>343</v>
      </c>
      <c r="P38" s="10" t="s">
        <v>342</v>
      </c>
    </row>
    <row r="39" spans="1:16" x14ac:dyDescent="0.25">
      <c r="B39" s="567"/>
      <c r="C39" s="568"/>
      <c r="D39" s="738" t="str">
        <f>IF(Intro!$G$20="English",O38,P38)</f>
        <v>valeur de vente nette rendue (CAD)</v>
      </c>
      <c r="E39" s="738"/>
      <c r="F39" s="738"/>
      <c r="G39" s="133"/>
      <c r="H39" s="133"/>
      <c r="I39" s="133"/>
      <c r="J39" s="133"/>
      <c r="K39" s="127"/>
      <c r="L39" s="71"/>
      <c r="M39" s="10"/>
    </row>
    <row r="40" spans="1:16" ht="15" thickBot="1" x14ac:dyDescent="0.3">
      <c r="B40" s="749"/>
      <c r="C40" s="750"/>
      <c r="D40" s="740" t="str">
        <f>D36</f>
        <v>$ / tonne</v>
      </c>
      <c r="E40" s="740"/>
      <c r="F40" s="740"/>
      <c r="G40" s="150" t="str">
        <f>IF(G38=0,"-",G39/G38)</f>
        <v>-</v>
      </c>
      <c r="H40" s="150" t="str">
        <f>IF(H38=0,"-",H39/H38)</f>
        <v>-</v>
      </c>
      <c r="I40" s="150" t="str">
        <f t="shared" ref="I40:K40" si="3">IF(I38=0,"-",I39/I38)</f>
        <v>-</v>
      </c>
      <c r="J40" s="150" t="str">
        <f t="shared" si="3"/>
        <v>-</v>
      </c>
      <c r="K40" s="150" t="str">
        <f t="shared" si="3"/>
        <v>-</v>
      </c>
      <c r="L40" s="71"/>
      <c r="M40" s="10"/>
      <c r="O40" s="10" t="str">
        <f>"Sales to "&amp;Variables!$B$27&amp;" in Canada"</f>
        <v>Sales to end users in Canada</v>
      </c>
      <c r="P40" s="10" t="str">
        <f>"Ventes aux "&amp;Variables!$C$27&amp;" au Canada"</f>
        <v>Ventes aux utilisateurs finals au Canada</v>
      </c>
    </row>
    <row r="41" spans="1:16" x14ac:dyDescent="0.25">
      <c r="B41" s="751" t="str">
        <f>IF(Intro!$G$20="English",O34,P34)</f>
        <v>Ventes aux utilisateurs finals au Canada</v>
      </c>
      <c r="C41" s="752"/>
      <c r="D41" s="741" t="str">
        <f t="shared" ref="D41:D42" si="4">D38</f>
        <v>tonnes</v>
      </c>
      <c r="E41" s="741"/>
      <c r="F41" s="741"/>
      <c r="G41" s="133"/>
      <c r="H41" s="133"/>
      <c r="I41" s="133"/>
      <c r="J41" s="133"/>
      <c r="K41" s="127"/>
      <c r="L41" s="71"/>
      <c r="M41" s="10"/>
    </row>
    <row r="42" spans="1:16" x14ac:dyDescent="0.25">
      <c r="B42" s="567"/>
      <c r="C42" s="568"/>
      <c r="D42" s="738" t="str">
        <f t="shared" si="4"/>
        <v>valeur de vente nette rendue (CAD)</v>
      </c>
      <c r="E42" s="738"/>
      <c r="F42" s="738"/>
      <c r="G42" s="133"/>
      <c r="H42" s="133"/>
      <c r="I42" s="133"/>
      <c r="J42" s="133"/>
      <c r="K42" s="127"/>
      <c r="L42" s="71"/>
      <c r="M42" s="10"/>
    </row>
    <row r="43" spans="1:16" ht="15" thickBot="1" x14ac:dyDescent="0.3">
      <c r="B43" s="749"/>
      <c r="C43" s="750"/>
      <c r="D43" s="740" t="str">
        <f>D40</f>
        <v>$ / tonne</v>
      </c>
      <c r="E43" s="740"/>
      <c r="F43" s="740"/>
      <c r="G43" s="150" t="str">
        <f>IF(G41=0,"-",G42/G41)</f>
        <v>-</v>
      </c>
      <c r="H43" s="150" t="str">
        <f>IF(H41=0,"-",H42/H41)</f>
        <v>-</v>
      </c>
      <c r="I43" s="150" t="str">
        <f>IF(I41=0,"-",I42/I41)</f>
        <v>-</v>
      </c>
      <c r="J43" s="150" t="str">
        <f>IF(J41=0,"-",J42/J41)</f>
        <v>-</v>
      </c>
      <c r="K43" s="150" t="str">
        <f>IF(K41=0,"-",K42/K41)</f>
        <v>-</v>
      </c>
      <c r="L43" s="71"/>
      <c r="M43" s="10"/>
    </row>
    <row r="44" spans="1:16" x14ac:dyDescent="0.25">
      <c r="B44" s="634" t="str">
        <f>IF(Intro!$G$20="English",O44,P44)</f>
        <v>Ventes totales au Canada</v>
      </c>
      <c r="C44" s="635"/>
      <c r="D44" s="766" t="str">
        <f>D34</f>
        <v>tonnes</v>
      </c>
      <c r="E44" s="766"/>
      <c r="F44" s="766"/>
      <c r="G44" s="135">
        <f t="shared" ref="G44:K45" si="5">G31+G34+G38+G41</f>
        <v>0</v>
      </c>
      <c r="H44" s="135">
        <f t="shared" si="5"/>
        <v>0</v>
      </c>
      <c r="I44" s="135">
        <f t="shared" si="5"/>
        <v>0</v>
      </c>
      <c r="J44" s="135">
        <f t="shared" si="5"/>
        <v>0</v>
      </c>
      <c r="K44" s="135">
        <f t="shared" si="5"/>
        <v>0</v>
      </c>
      <c r="L44" s="71"/>
      <c r="M44" s="10"/>
      <c r="O44" s="10" t="s">
        <v>344</v>
      </c>
      <c r="P44" s="10" t="s">
        <v>345</v>
      </c>
    </row>
    <row r="45" spans="1:16" x14ac:dyDescent="0.25">
      <c r="B45" s="623"/>
      <c r="C45" s="624"/>
      <c r="D45" s="767" t="str">
        <f>D35</f>
        <v>valeur de vente nette rendue (CAD)</v>
      </c>
      <c r="E45" s="767"/>
      <c r="F45" s="767"/>
      <c r="G45" s="134">
        <f t="shared" si="5"/>
        <v>0</v>
      </c>
      <c r="H45" s="134">
        <f t="shared" si="5"/>
        <v>0</v>
      </c>
      <c r="I45" s="134">
        <f t="shared" si="5"/>
        <v>0</v>
      </c>
      <c r="J45" s="134">
        <f t="shared" si="5"/>
        <v>0</v>
      </c>
      <c r="K45" s="134">
        <f t="shared" si="5"/>
        <v>0</v>
      </c>
      <c r="L45" s="71"/>
      <c r="M45" s="10"/>
    </row>
    <row r="46" spans="1:16" x14ac:dyDescent="0.25">
      <c r="B46" s="623"/>
      <c r="C46" s="624"/>
      <c r="D46" s="767" t="str">
        <f>D36</f>
        <v>$ / tonne</v>
      </c>
      <c r="E46" s="767"/>
      <c r="F46" s="767"/>
      <c r="G46" s="150" t="str">
        <f>IF(G44=0,"-",G45/G44)</f>
        <v>-</v>
      </c>
      <c r="H46" s="150" t="str">
        <f>IF(H44=0,"-",H45/H44)</f>
        <v>-</v>
      </c>
      <c r="I46" s="150" t="str">
        <f>IF(I44=0,"-",I45/I44)</f>
        <v>-</v>
      </c>
      <c r="J46" s="150" t="str">
        <f t="shared" ref="J46:K46" si="6">IF(J44=0,"-",J45/J44)</f>
        <v>-</v>
      </c>
      <c r="K46" s="150" t="str">
        <f t="shared" si="6"/>
        <v>-</v>
      </c>
      <c r="L46" s="71"/>
      <c r="M46" s="10"/>
    </row>
    <row r="47" spans="1:16" x14ac:dyDescent="0.25">
      <c r="B47" s="72"/>
      <c r="C47" s="82"/>
      <c r="D47" s="82"/>
      <c r="E47" s="82"/>
      <c r="F47" s="82"/>
      <c r="G47" s="82"/>
      <c r="H47" s="82"/>
      <c r="I47" s="82"/>
      <c r="J47" s="82"/>
      <c r="K47" s="82"/>
      <c r="L47" s="83"/>
      <c r="M47" s="10"/>
    </row>
    <row r="48" spans="1:16" s="207" customFormat="1" x14ac:dyDescent="0.25">
      <c r="A48" s="7"/>
      <c r="B48" s="31"/>
      <c r="C48" s="31"/>
      <c r="D48" s="89"/>
      <c r="E48" s="236"/>
      <c r="F48" s="236"/>
      <c r="G48" s="236"/>
      <c r="H48" s="236"/>
      <c r="I48" s="236"/>
      <c r="J48" s="236"/>
      <c r="K48" s="236"/>
      <c r="L48" s="236"/>
      <c r="M48" s="73"/>
    </row>
    <row r="49" spans="1:16" x14ac:dyDescent="0.25">
      <c r="B49" s="533" t="str">
        <f>IF(Intro!$G$20="English",O49,P49)</f>
        <v>VENTES AU CANADA D'IMPORTATIONS À VOS CINQ PLUS IMPORTANTS CLIENTS</v>
      </c>
      <c r="C49" s="534"/>
      <c r="D49" s="534"/>
      <c r="E49" s="534"/>
      <c r="F49" s="534"/>
      <c r="G49" s="534"/>
      <c r="H49" s="534"/>
      <c r="I49" s="534"/>
      <c r="J49" s="534"/>
      <c r="K49" s="534"/>
      <c r="L49" s="535"/>
      <c r="M49" s="10"/>
      <c r="O49" s="105" t="s">
        <v>335</v>
      </c>
      <c r="P49" s="105" t="s">
        <v>397</v>
      </c>
    </row>
    <row r="50" spans="1:16" s="207" customFormat="1" x14ac:dyDescent="0.25">
      <c r="A50" s="7"/>
      <c r="B50" s="671" t="s">
        <v>15</v>
      </c>
      <c r="C50" s="672"/>
      <c r="D50" s="672"/>
      <c r="E50" s="672"/>
      <c r="F50" s="672"/>
      <c r="G50" s="672"/>
      <c r="H50" s="672"/>
      <c r="I50" s="672"/>
      <c r="J50" s="672"/>
      <c r="K50" s="672"/>
      <c r="L50" s="673"/>
      <c r="M50" s="73"/>
      <c r="O50" s="10"/>
    </row>
    <row r="51" spans="1:16" x14ac:dyDescent="0.25">
      <c r="B51" s="16"/>
      <c r="C51" s="35"/>
      <c r="D51" s="35"/>
      <c r="E51" s="36"/>
      <c r="F51" s="36"/>
      <c r="G51" s="36"/>
      <c r="H51" s="36"/>
      <c r="I51" s="36"/>
      <c r="J51" s="36"/>
      <c r="K51" s="36"/>
      <c r="L51" s="17"/>
      <c r="M51" s="10"/>
    </row>
    <row r="52" spans="1:16" x14ac:dyDescent="0.25">
      <c r="B52" s="530" t="str">
        <f>IF(Intro!$G$20="English",O52,P52)</f>
        <v>Déclarez le volume et la valeur des ventes d'importations au Canada pour chaque compte indiqué ci-dessous :</v>
      </c>
      <c r="C52" s="531"/>
      <c r="D52" s="531"/>
      <c r="E52" s="531"/>
      <c r="F52" s="531"/>
      <c r="G52" s="531"/>
      <c r="H52" s="531"/>
      <c r="I52" s="531"/>
      <c r="J52" s="531"/>
      <c r="K52" s="531"/>
      <c r="L52" s="532"/>
      <c r="M52" s="10"/>
      <c r="O52" s="18" t="s">
        <v>172</v>
      </c>
      <c r="P52" s="10" t="s">
        <v>173</v>
      </c>
    </row>
    <row r="53" spans="1:16" x14ac:dyDescent="0.25">
      <c r="B53" s="530" t="str">
        <f>Pro!B22</f>
        <v>Note - Ne répondez à cette question que si votre entreprise a vendu les marchandises du 1er janvier 2023 au 31 mars 2026.</v>
      </c>
      <c r="C53" s="531"/>
      <c r="D53" s="531"/>
      <c r="E53" s="531"/>
      <c r="F53" s="531"/>
      <c r="G53" s="531"/>
      <c r="H53" s="531"/>
      <c r="I53" s="531"/>
      <c r="J53" s="531"/>
      <c r="K53" s="531"/>
      <c r="L53" s="532"/>
      <c r="M53" s="10"/>
      <c r="O53" s="18"/>
    </row>
    <row r="54" spans="1:16" x14ac:dyDescent="0.25">
      <c r="B54" s="233"/>
      <c r="C54" s="234"/>
      <c r="D54" s="35"/>
      <c r="E54" s="36"/>
      <c r="F54" s="36"/>
      <c r="G54" s="36"/>
      <c r="H54" s="36"/>
      <c r="I54" s="36"/>
      <c r="J54" s="36"/>
      <c r="K54" s="36"/>
      <c r="L54" s="17"/>
      <c r="M54" s="10"/>
      <c r="O54" s="18"/>
    </row>
    <row r="55" spans="1:16" x14ac:dyDescent="0.25">
      <c r="B55" s="772"/>
      <c r="C55" s="773"/>
      <c r="D55" s="774"/>
      <c r="E55" s="237" t="str">
        <f>IF(Intro!$G$20="English","Q","T")&amp;IF(MID(F55,2,1)&lt;&gt;"1",MID(F55,2,1)-1&amp;" - "&amp;MID(F55,6,4),"4 - "&amp;MID(F55,6,4)-1)</f>
        <v>T2 - 2024</v>
      </c>
      <c r="F55" s="237" t="str">
        <f>IF(Intro!$G$20="English","Q","T")&amp;IF(MID(G55,2,1)&lt;&gt;"1",MID(G55,2,1)-1&amp;" - "&amp;MID(G55,6,4),"4 - "&amp;MID(G55,6,4)-1)</f>
        <v>T3 - 2024</v>
      </c>
      <c r="G55" s="237" t="str">
        <f>IF(Intro!$G$20="English","Q","T")&amp;IF(MID(H55,2,1)&lt;&gt;"1",MID(H55,2,1)-1&amp;" - "&amp;MID(H55,6,4),"4 - "&amp;MID(H55,6,4)-1)</f>
        <v>T4 - 2024</v>
      </c>
      <c r="H55" s="237" t="str">
        <f>IF(Intro!$G$20="English","Q","T")&amp;IF(MID(I55,2,1)&lt;&gt;"1",MID(I55,2,1)-1&amp;" - "&amp;MID(I55,6,4),"4 - "&amp;MID(I55,6,4)-1)</f>
        <v>T1 - 2025</v>
      </c>
      <c r="I55" s="237" t="str">
        <f>IF(Intro!$G$20="English","Q","T")&amp;IF(MID(J55,2,1)&lt;&gt;"1",MID(J55,2,1)-1&amp;" - "&amp;MID(J55,6,4),"4 - "&amp;MID(J55,6,4)-1)</f>
        <v>T2 - 2025</v>
      </c>
      <c r="J55" s="237" t="str">
        <f>IF(Intro!$G$20="English","Q","T")&amp;IF(MID(K55,2,1)&lt;&gt;"1",MID(K55,2,1)-1&amp;" - "&amp;MID(K55,6,4),"4 - "&amp;MID(K55,6,4)-1)</f>
        <v>T3 - 2025</v>
      </c>
      <c r="K55" s="237" t="str">
        <f>IF(Intro!$G$20="English","Q","T")&amp;IF(MID(L55,2,1)&lt;&gt;"1",MID(L55,2,1)-1&amp;" - "&amp;MID(L55,6,4),"4 - "&amp;MID(L55,6,4)-1)</f>
        <v>T4 - 2025</v>
      </c>
      <c r="L55" s="238" t="str">
        <f>IF(Intro!$G$20="English",Variables!B29&amp;" - ",Variables!C29&amp;" - ")&amp;Variables!B8</f>
        <v>T1 - 2026</v>
      </c>
      <c r="M55" s="10"/>
      <c r="O55" s="18"/>
    </row>
    <row r="56" spans="1:16" x14ac:dyDescent="0.25">
      <c r="B56" s="733" t="str">
        <f>IF(Intro!$G$20="English",O57,P57)</f>
        <v xml:space="preserve">Client 1 - </v>
      </c>
      <c r="C56" s="734"/>
      <c r="D56" s="734"/>
      <c r="E56" s="734"/>
      <c r="F56" s="734"/>
      <c r="G56" s="734"/>
      <c r="H56" s="734"/>
      <c r="I56" s="734"/>
      <c r="J56" s="734"/>
      <c r="K56" s="734"/>
      <c r="L56" s="735"/>
      <c r="M56" s="10"/>
      <c r="O56" s="18"/>
    </row>
    <row r="57" spans="1:16" x14ac:dyDescent="0.25">
      <c r="B57" s="747" t="str">
        <f>D$31</f>
        <v>tonnes</v>
      </c>
      <c r="C57" s="748"/>
      <c r="D57" s="748"/>
      <c r="E57" s="137"/>
      <c r="F57" s="137"/>
      <c r="G57" s="137"/>
      <c r="H57" s="137"/>
      <c r="I57" s="137"/>
      <c r="J57" s="137"/>
      <c r="K57" s="137"/>
      <c r="L57" s="138"/>
      <c r="M57" s="10"/>
      <c r="O57" s="10" t="str">
        <f>"Account 1 - "&amp;Pro!C119</f>
        <v xml:space="preserve">Account 1 - </v>
      </c>
      <c r="P57" s="10" t="str">
        <f>"Client 1 - "&amp;Pro!C119</f>
        <v xml:space="preserve">Client 1 - </v>
      </c>
    </row>
    <row r="58" spans="1:16" x14ac:dyDescent="0.25">
      <c r="B58" s="747" t="str">
        <f>D$32</f>
        <v>valeur de vente nette rendue (CAD)</v>
      </c>
      <c r="C58" s="748"/>
      <c r="D58" s="748"/>
      <c r="E58" s="137"/>
      <c r="F58" s="137"/>
      <c r="G58" s="137"/>
      <c r="H58" s="137"/>
      <c r="I58" s="137"/>
      <c r="J58" s="137"/>
      <c r="K58" s="137"/>
      <c r="L58" s="138"/>
      <c r="M58" s="10"/>
    </row>
    <row r="59" spans="1:16" x14ac:dyDescent="0.25">
      <c r="B59" s="747" t="str">
        <f>D$33</f>
        <v>$ / tonne</v>
      </c>
      <c r="C59" s="748"/>
      <c r="D59" s="748"/>
      <c r="E59" s="151" t="str">
        <f>IF(E57=0,"-",E58/E57)</f>
        <v>-</v>
      </c>
      <c r="F59" s="151" t="str">
        <f t="shared" ref="F59:L59" si="7">IF(F57=0,"-",F58/F57)</f>
        <v>-</v>
      </c>
      <c r="G59" s="151" t="str">
        <f t="shared" si="7"/>
        <v>-</v>
      </c>
      <c r="H59" s="151" t="str">
        <f t="shared" si="7"/>
        <v>-</v>
      </c>
      <c r="I59" s="151" t="str">
        <f t="shared" si="7"/>
        <v>-</v>
      </c>
      <c r="J59" s="151" t="str">
        <f t="shared" si="7"/>
        <v>-</v>
      </c>
      <c r="K59" s="151" t="str">
        <f t="shared" si="7"/>
        <v>-</v>
      </c>
      <c r="L59" s="152" t="str">
        <f t="shared" si="7"/>
        <v>-</v>
      </c>
      <c r="M59" s="10"/>
    </row>
    <row r="60" spans="1:16" x14ac:dyDescent="0.25">
      <c r="B60" s="733" t="str">
        <f>IF(Intro!$G$20="English",O61,P61)</f>
        <v xml:space="preserve">Client 2 - </v>
      </c>
      <c r="C60" s="734"/>
      <c r="D60" s="734"/>
      <c r="E60" s="734"/>
      <c r="F60" s="734"/>
      <c r="G60" s="734"/>
      <c r="H60" s="734"/>
      <c r="I60" s="734"/>
      <c r="J60" s="734"/>
      <c r="K60" s="734"/>
      <c r="L60" s="735"/>
      <c r="M60" s="10"/>
    </row>
    <row r="61" spans="1:16" x14ac:dyDescent="0.25">
      <c r="B61" s="747" t="str">
        <f>D$31</f>
        <v>tonnes</v>
      </c>
      <c r="C61" s="748"/>
      <c r="D61" s="748"/>
      <c r="E61" s="137"/>
      <c r="F61" s="137"/>
      <c r="G61" s="137"/>
      <c r="H61" s="137"/>
      <c r="I61" s="137"/>
      <c r="J61" s="137"/>
      <c r="K61" s="137"/>
      <c r="L61" s="138"/>
      <c r="M61" s="10"/>
      <c r="O61" s="10" t="str">
        <f>"Account 2 - "&amp;Pro!C120</f>
        <v xml:space="preserve">Account 2 - </v>
      </c>
      <c r="P61" s="10" t="str">
        <f>"Client 2 - "&amp;Pro!C120</f>
        <v xml:space="preserve">Client 2 - </v>
      </c>
    </row>
    <row r="62" spans="1:16" x14ac:dyDescent="0.25">
      <c r="B62" s="747" t="str">
        <f>D$32</f>
        <v>valeur de vente nette rendue (CAD)</v>
      </c>
      <c r="C62" s="748"/>
      <c r="D62" s="748"/>
      <c r="E62" s="137"/>
      <c r="F62" s="137"/>
      <c r="G62" s="137"/>
      <c r="H62" s="137"/>
      <c r="I62" s="137"/>
      <c r="J62" s="137"/>
      <c r="K62" s="137"/>
      <c r="L62" s="138"/>
      <c r="M62" s="10"/>
    </row>
    <row r="63" spans="1:16" x14ac:dyDescent="0.25">
      <c r="B63" s="747" t="str">
        <f>D$33</f>
        <v>$ / tonne</v>
      </c>
      <c r="C63" s="748"/>
      <c r="D63" s="748"/>
      <c r="E63" s="151" t="str">
        <f>IF(E61=0,"-",E62/E61)</f>
        <v>-</v>
      </c>
      <c r="F63" s="151" t="str">
        <f t="shared" ref="F63:L63" si="8">IF(F61=0,"-",F62/F61)</f>
        <v>-</v>
      </c>
      <c r="G63" s="151" t="str">
        <f t="shared" si="8"/>
        <v>-</v>
      </c>
      <c r="H63" s="151" t="str">
        <f t="shared" si="8"/>
        <v>-</v>
      </c>
      <c r="I63" s="151" t="str">
        <f t="shared" si="8"/>
        <v>-</v>
      </c>
      <c r="J63" s="151" t="str">
        <f t="shared" si="8"/>
        <v>-</v>
      </c>
      <c r="K63" s="151" t="str">
        <f t="shared" si="8"/>
        <v>-</v>
      </c>
      <c r="L63" s="152" t="str">
        <f t="shared" si="8"/>
        <v>-</v>
      </c>
      <c r="M63" s="10"/>
    </row>
    <row r="64" spans="1:16" x14ac:dyDescent="0.25">
      <c r="B64" s="733" t="str">
        <f>IF(Intro!$G$20="English",O65,P65)</f>
        <v xml:space="preserve">Client 3 - </v>
      </c>
      <c r="C64" s="734"/>
      <c r="D64" s="734"/>
      <c r="E64" s="734"/>
      <c r="F64" s="734"/>
      <c r="G64" s="734"/>
      <c r="H64" s="734"/>
      <c r="I64" s="734"/>
      <c r="J64" s="734"/>
      <c r="K64" s="734"/>
      <c r="L64" s="735"/>
      <c r="M64" s="10"/>
    </row>
    <row r="65" spans="2:19" x14ac:dyDescent="0.25">
      <c r="B65" s="747" t="str">
        <f>D$31</f>
        <v>tonnes</v>
      </c>
      <c r="C65" s="748"/>
      <c r="D65" s="748"/>
      <c r="E65" s="137"/>
      <c r="F65" s="137"/>
      <c r="G65" s="137"/>
      <c r="H65" s="137"/>
      <c r="I65" s="137"/>
      <c r="J65" s="137"/>
      <c r="K65" s="137"/>
      <c r="L65" s="138"/>
      <c r="M65" s="10"/>
      <c r="O65" s="10" t="str">
        <f>"Account 3 - "&amp;Pro!C121</f>
        <v xml:space="preserve">Account 3 - </v>
      </c>
      <c r="P65" s="10" t="str">
        <f>"Client 3 - "&amp;Pro!C121</f>
        <v xml:space="preserve">Client 3 - </v>
      </c>
    </row>
    <row r="66" spans="2:19" x14ac:dyDescent="0.25">
      <c r="B66" s="747" t="str">
        <f>D$32</f>
        <v>valeur de vente nette rendue (CAD)</v>
      </c>
      <c r="C66" s="748"/>
      <c r="D66" s="748"/>
      <c r="E66" s="137"/>
      <c r="F66" s="137"/>
      <c r="G66" s="137"/>
      <c r="H66" s="137"/>
      <c r="I66" s="137"/>
      <c r="J66" s="137"/>
      <c r="K66" s="137"/>
      <c r="L66" s="138"/>
      <c r="M66" s="10"/>
    </row>
    <row r="67" spans="2:19" x14ac:dyDescent="0.25">
      <c r="B67" s="747" t="str">
        <f>D$33</f>
        <v>$ / tonne</v>
      </c>
      <c r="C67" s="748"/>
      <c r="D67" s="748"/>
      <c r="E67" s="151" t="str">
        <f>IF(E65=0,"-",E66/E65)</f>
        <v>-</v>
      </c>
      <c r="F67" s="151" t="str">
        <f t="shared" ref="F67:L67" si="9">IF(F65=0,"-",F66/F65)</f>
        <v>-</v>
      </c>
      <c r="G67" s="151" t="str">
        <f t="shared" si="9"/>
        <v>-</v>
      </c>
      <c r="H67" s="151" t="str">
        <f t="shared" si="9"/>
        <v>-</v>
      </c>
      <c r="I67" s="151" t="str">
        <f t="shared" si="9"/>
        <v>-</v>
      </c>
      <c r="J67" s="151" t="str">
        <f t="shared" si="9"/>
        <v>-</v>
      </c>
      <c r="K67" s="151" t="str">
        <f t="shared" si="9"/>
        <v>-</v>
      </c>
      <c r="L67" s="152" t="str">
        <f t="shared" si="9"/>
        <v>-</v>
      </c>
      <c r="M67" s="10"/>
    </row>
    <row r="68" spans="2:19" x14ac:dyDescent="0.25">
      <c r="B68" s="733" t="str">
        <f>IF(Intro!$G$20="English",O69,P69)</f>
        <v xml:space="preserve">Client 4 - </v>
      </c>
      <c r="C68" s="734"/>
      <c r="D68" s="734"/>
      <c r="E68" s="734"/>
      <c r="F68" s="734"/>
      <c r="G68" s="734"/>
      <c r="H68" s="734"/>
      <c r="I68" s="734"/>
      <c r="J68" s="734"/>
      <c r="K68" s="734"/>
      <c r="L68" s="735"/>
      <c r="M68" s="10"/>
    </row>
    <row r="69" spans="2:19" x14ac:dyDescent="0.25">
      <c r="B69" s="747" t="str">
        <f>D$31</f>
        <v>tonnes</v>
      </c>
      <c r="C69" s="748"/>
      <c r="D69" s="748"/>
      <c r="E69" s="137"/>
      <c r="F69" s="137"/>
      <c r="G69" s="137"/>
      <c r="H69" s="137"/>
      <c r="I69" s="137"/>
      <c r="J69" s="137"/>
      <c r="K69" s="137"/>
      <c r="L69" s="138"/>
      <c r="M69" s="10"/>
      <c r="O69" s="10" t="str">
        <f>"Account 4 - "&amp;Pro!C122</f>
        <v xml:space="preserve">Account 4 - </v>
      </c>
      <c r="P69" s="10" t="str">
        <f>"Client 4 - "&amp;Pro!C122</f>
        <v xml:space="preserve">Client 4 - </v>
      </c>
    </row>
    <row r="70" spans="2:19" x14ac:dyDescent="0.25">
      <c r="B70" s="747" t="str">
        <f>D$32</f>
        <v>valeur de vente nette rendue (CAD)</v>
      </c>
      <c r="C70" s="748"/>
      <c r="D70" s="748"/>
      <c r="E70" s="137"/>
      <c r="F70" s="137"/>
      <c r="G70" s="137"/>
      <c r="H70" s="137"/>
      <c r="I70" s="137"/>
      <c r="J70" s="137"/>
      <c r="K70" s="137"/>
      <c r="L70" s="138"/>
      <c r="M70" s="10"/>
    </row>
    <row r="71" spans="2:19" x14ac:dyDescent="0.25">
      <c r="B71" s="747" t="str">
        <f>D$33</f>
        <v>$ / tonne</v>
      </c>
      <c r="C71" s="748"/>
      <c r="D71" s="748"/>
      <c r="E71" s="151" t="str">
        <f>IF(E69=0,"-",E70/E69)</f>
        <v>-</v>
      </c>
      <c r="F71" s="151" t="str">
        <f t="shared" ref="F71:L71" si="10">IF(F69=0,"-",F70/F69)</f>
        <v>-</v>
      </c>
      <c r="G71" s="151" t="str">
        <f t="shared" si="10"/>
        <v>-</v>
      </c>
      <c r="H71" s="151" t="str">
        <f t="shared" si="10"/>
        <v>-</v>
      </c>
      <c r="I71" s="151" t="str">
        <f t="shared" si="10"/>
        <v>-</v>
      </c>
      <c r="J71" s="151" t="str">
        <f t="shared" si="10"/>
        <v>-</v>
      </c>
      <c r="K71" s="151" t="str">
        <f t="shared" si="10"/>
        <v>-</v>
      </c>
      <c r="L71" s="152" t="str">
        <f t="shared" si="10"/>
        <v>-</v>
      </c>
      <c r="M71" s="10"/>
    </row>
    <row r="72" spans="2:19" x14ac:dyDescent="0.25">
      <c r="B72" s="733" t="str">
        <f>IF(Intro!$G$20="English",O73,P73)</f>
        <v xml:space="preserve">Client 5 - </v>
      </c>
      <c r="C72" s="734"/>
      <c r="D72" s="734"/>
      <c r="E72" s="734"/>
      <c r="F72" s="734"/>
      <c r="G72" s="734"/>
      <c r="H72" s="734"/>
      <c r="I72" s="734"/>
      <c r="J72" s="734"/>
      <c r="K72" s="734"/>
      <c r="L72" s="735"/>
      <c r="M72" s="10"/>
    </row>
    <row r="73" spans="2:19" x14ac:dyDescent="0.25">
      <c r="B73" s="747" t="str">
        <f>D$31</f>
        <v>tonnes</v>
      </c>
      <c r="C73" s="748"/>
      <c r="D73" s="748"/>
      <c r="E73" s="137"/>
      <c r="F73" s="137"/>
      <c r="G73" s="137"/>
      <c r="H73" s="137"/>
      <c r="I73" s="137"/>
      <c r="J73" s="137"/>
      <c r="K73" s="137"/>
      <c r="L73" s="138"/>
      <c r="M73" s="10"/>
      <c r="O73" s="10" t="str">
        <f>"Account 5 - "&amp;Pro!C123</f>
        <v xml:space="preserve">Account 5 - </v>
      </c>
      <c r="P73" s="10" t="str">
        <f>"Client 5 - "&amp;Pro!C123</f>
        <v xml:space="preserve">Client 5 - </v>
      </c>
    </row>
    <row r="74" spans="2:19" x14ac:dyDescent="0.25">
      <c r="B74" s="747" t="str">
        <f>D$32</f>
        <v>valeur de vente nette rendue (CAD)</v>
      </c>
      <c r="C74" s="748"/>
      <c r="D74" s="748"/>
      <c r="E74" s="137"/>
      <c r="F74" s="137"/>
      <c r="G74" s="137"/>
      <c r="H74" s="137"/>
      <c r="I74" s="137"/>
      <c r="J74" s="137"/>
      <c r="K74" s="137"/>
      <c r="L74" s="138"/>
      <c r="M74" s="10"/>
    </row>
    <row r="75" spans="2:19" x14ac:dyDescent="0.25">
      <c r="B75" s="747" t="str">
        <f>D$33</f>
        <v>$ / tonne</v>
      </c>
      <c r="C75" s="748"/>
      <c r="D75" s="748"/>
      <c r="E75" s="151" t="str">
        <f>IF(E73=0,"-",E74/E73)</f>
        <v>-</v>
      </c>
      <c r="F75" s="151" t="str">
        <f t="shared" ref="F75:L75" si="11">IF(F73=0,"-",F74/F73)</f>
        <v>-</v>
      </c>
      <c r="G75" s="151" t="str">
        <f t="shared" si="11"/>
        <v>-</v>
      </c>
      <c r="H75" s="151" t="str">
        <f t="shared" si="11"/>
        <v>-</v>
      </c>
      <c r="I75" s="151" t="str">
        <f t="shared" si="11"/>
        <v>-</v>
      </c>
      <c r="J75" s="151" t="str">
        <f t="shared" si="11"/>
        <v>-</v>
      </c>
      <c r="K75" s="151" t="str">
        <f t="shared" si="11"/>
        <v>-</v>
      </c>
      <c r="L75" s="152" t="str">
        <f t="shared" si="11"/>
        <v>-</v>
      </c>
      <c r="M75" s="10"/>
    </row>
    <row r="76" spans="2:19" x14ac:dyDescent="0.25">
      <c r="B76" s="233"/>
      <c r="C76" s="234"/>
      <c r="D76" s="234"/>
      <c r="E76" s="29"/>
      <c r="F76" s="29"/>
      <c r="G76" s="29"/>
      <c r="H76" s="29"/>
      <c r="I76" s="29"/>
      <c r="J76" s="29"/>
      <c r="K76" s="29"/>
      <c r="L76" s="30"/>
      <c r="M76" s="10"/>
    </row>
    <row r="77" spans="2:19" x14ac:dyDescent="0.25">
      <c r="B77" s="530" t="str">
        <f>IF(Intro!$G$20="English",O77,P77)</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7" s="531"/>
      <c r="D77" s="531"/>
      <c r="E77" s="531"/>
      <c r="F77" s="531"/>
      <c r="G77" s="531"/>
      <c r="H77" s="531"/>
      <c r="I77" s="531"/>
      <c r="J77" s="531"/>
      <c r="K77" s="531"/>
      <c r="L77" s="532"/>
      <c r="M77" s="10"/>
      <c r="O77" s="10" t="s">
        <v>359</v>
      </c>
      <c r="P77" s="10" t="s">
        <v>360</v>
      </c>
      <c r="S77" s="38"/>
    </row>
    <row r="78" spans="2:19" x14ac:dyDescent="0.25">
      <c r="B78" s="530"/>
      <c r="C78" s="531"/>
      <c r="D78" s="531"/>
      <c r="E78" s="531"/>
      <c r="F78" s="531"/>
      <c r="G78" s="531"/>
      <c r="H78" s="531"/>
      <c r="I78" s="531"/>
      <c r="J78" s="531"/>
      <c r="K78" s="531"/>
      <c r="L78" s="532"/>
      <c r="M78" s="10"/>
      <c r="S78" s="38"/>
    </row>
    <row r="79" spans="2:19" x14ac:dyDescent="0.25">
      <c r="B79" s="233"/>
      <c r="C79" s="234"/>
      <c r="D79" s="234"/>
      <c r="E79" s="29"/>
      <c r="F79" s="29"/>
      <c r="G79" s="29"/>
      <c r="H79" s="29"/>
      <c r="I79" s="29"/>
      <c r="J79" s="29"/>
      <c r="K79" s="29"/>
      <c r="L79" s="30"/>
      <c r="M79" s="10"/>
      <c r="S79" s="38"/>
    </row>
    <row r="80" spans="2:19" ht="14.1" customHeight="1" x14ac:dyDescent="0.25">
      <c r="B80" s="753" t="str">
        <f>Variables!D66</f>
        <v>Vérification - volume</v>
      </c>
      <c r="C80" s="644"/>
      <c r="D80" s="644"/>
      <c r="E80" s="644"/>
      <c r="F80" s="645"/>
      <c r="G80" s="237">
        <f>H80-1</f>
        <v>2024</v>
      </c>
      <c r="H80" s="237">
        <f>Variables!B8-1</f>
        <v>2025</v>
      </c>
      <c r="I80" s="237" t="str">
        <f>J24</f>
        <v>janv.-mars 2025</v>
      </c>
      <c r="J80" s="237" t="str">
        <f>K24</f>
        <v>janv.-mars 2026</v>
      </c>
      <c r="K80" s="225"/>
      <c r="L80" s="226"/>
      <c r="M80" s="10"/>
      <c r="O80" s="10" t="s">
        <v>379</v>
      </c>
      <c r="P80" s="10" t="s">
        <v>380</v>
      </c>
    </row>
    <row r="81" spans="1:16" ht="14.1" customHeight="1" x14ac:dyDescent="0.25">
      <c r="B81" s="757" t="str">
        <f>D31</f>
        <v>tonnes</v>
      </c>
      <c r="C81" s="758"/>
      <c r="D81" s="758"/>
      <c r="E81" s="758"/>
      <c r="F81" s="759"/>
      <c r="G81" s="187" t="str">
        <f>IF(SUM(E57:G57,E61:G61,E65:G65,E69:G69,E73:G73)&gt;H44,Variables!$D$67,Variables!$D$68)</f>
        <v>Correct</v>
      </c>
      <c r="H81" s="187" t="str">
        <f>IF(SUM(H57:K57,H61:K61,H65:K65,H69:K69,H73:K73)&gt;I44,Variables!$D$67,Variables!$D$68)</f>
        <v>Correct</v>
      </c>
      <c r="I81" s="187" t="str">
        <f>IF(SUM(H57,H61,H65,H69,H73)&gt;J44,Variables!$D$67,Variables!$D$68)</f>
        <v>Correct</v>
      </c>
      <c r="J81" s="187" t="str">
        <f>IF(SUM(L57,L61,L65,L69,L73)&gt;K44,Variables!$D$67,Variables!$D$68)</f>
        <v>Correct</v>
      </c>
      <c r="K81" s="225"/>
      <c r="L81" s="226"/>
      <c r="M81" s="10"/>
    </row>
    <row r="82" spans="1:16" ht="27.75" customHeight="1" x14ac:dyDescent="0.25">
      <c r="B82" s="754" t="str">
        <f>IF(Intro!$G$20="English",O82,P82)</f>
        <v>volume - total des ventes au Canada d'importations aux cinq principaux clients (Question 2)</v>
      </c>
      <c r="C82" s="755"/>
      <c r="D82" s="755"/>
      <c r="E82" s="755"/>
      <c r="F82" s="756"/>
      <c r="G82" s="187">
        <f>SUM(E57:G57,E61:G61,E65:G65,E69:G69,E73:G73)</f>
        <v>0</v>
      </c>
      <c r="H82" s="187">
        <f>SUM(H57:K57,H61:K61,H65:K65,H69:K69,H73:K73)</f>
        <v>0</v>
      </c>
      <c r="I82" s="187">
        <f>SUM(H57,H61,H65,H69,H73)</f>
        <v>0</v>
      </c>
      <c r="J82" s="187">
        <f>SUM(L57,L61,L65,L69,L73)</f>
        <v>0</v>
      </c>
      <c r="K82" s="225"/>
      <c r="L82" s="226"/>
      <c r="M82" s="10"/>
      <c r="O82" s="73" t="s">
        <v>439</v>
      </c>
      <c r="P82" s="10" t="s">
        <v>441</v>
      </c>
    </row>
    <row r="83" spans="1:16" ht="14.1" customHeight="1" x14ac:dyDescent="0.25">
      <c r="B83" s="754" t="str">
        <f>IF(Intro!$G$20="English",O83,P83)</f>
        <v>volume - total des ventes au Canada d'importations (Question 1)</v>
      </c>
      <c r="C83" s="755"/>
      <c r="D83" s="755"/>
      <c r="E83" s="755"/>
      <c r="F83" s="756"/>
      <c r="G83" s="187">
        <f>H44</f>
        <v>0</v>
      </c>
      <c r="H83" s="187">
        <f>I44</f>
        <v>0</v>
      </c>
      <c r="I83" s="187">
        <f>J44</f>
        <v>0</v>
      </c>
      <c r="J83" s="187">
        <f>K44</f>
        <v>0</v>
      </c>
      <c r="K83" s="225"/>
      <c r="L83" s="226"/>
      <c r="M83" s="10"/>
      <c r="O83" s="10" t="s">
        <v>440</v>
      </c>
      <c r="P83" s="10" t="s">
        <v>442</v>
      </c>
    </row>
    <row r="84" spans="1:16" ht="14.1" customHeight="1" x14ac:dyDescent="0.25">
      <c r="B84" s="760" t="str">
        <f>Variables!D70</f>
        <v>Vérification - valeur</v>
      </c>
      <c r="C84" s="761"/>
      <c r="D84" s="761"/>
      <c r="E84" s="761"/>
      <c r="F84" s="762"/>
      <c r="G84" s="237">
        <f>G80</f>
        <v>2024</v>
      </c>
      <c r="H84" s="237">
        <f>H80</f>
        <v>2025</v>
      </c>
      <c r="I84" s="237" t="str">
        <f>I80</f>
        <v>janv.-mars 2025</v>
      </c>
      <c r="J84" s="237" t="str">
        <f>J80</f>
        <v>janv.-mars 2026</v>
      </c>
      <c r="K84" s="225"/>
      <c r="L84" s="226"/>
      <c r="M84" s="10"/>
    </row>
    <row r="85" spans="1:16" ht="14.1" customHeight="1" x14ac:dyDescent="0.25">
      <c r="B85" s="783" t="str">
        <f>D32</f>
        <v>valeur de vente nette rendue (CAD)</v>
      </c>
      <c r="C85" s="784"/>
      <c r="D85" s="784"/>
      <c r="E85" s="784"/>
      <c r="F85" s="785"/>
      <c r="G85" s="187" t="str">
        <f>IF(SUM(E58:G58,E62:G62,E66:G66,E70:G70,E74:G74)&gt;H45,Variables!$D$67,Variables!$D$68)</f>
        <v>Correct</v>
      </c>
      <c r="H85" s="187" t="str">
        <f>IF(SUM(H58:K58,H62:K62,H66:K66,H70:K70,H74:K74)&gt;I45,Variables!$D$67,Variables!$D$68)</f>
        <v>Correct</v>
      </c>
      <c r="I85" s="187" t="str">
        <f>IF(SUM(H58,H62,H66,H70,H74)&gt;J45,Variables!$D$67,Variables!$D$68)</f>
        <v>Correct</v>
      </c>
      <c r="J85" s="187" t="str">
        <f>IF(SUM(L58,L62,L66,L70,L74)&gt;K45,Variables!$D$67,Variables!$D$68)</f>
        <v>Correct</v>
      </c>
      <c r="K85" s="225"/>
      <c r="L85" s="226"/>
      <c r="M85" s="10"/>
    </row>
    <row r="86" spans="1:16" ht="14.1" customHeight="1" x14ac:dyDescent="0.25">
      <c r="B86" s="786" t="str">
        <f>IF(Intro!$G$20="English",O86,P86)</f>
        <v>valeur - total des ventes au Canada d'importations aux cinq principaux clients (Question 2)</v>
      </c>
      <c r="C86" s="787"/>
      <c r="D86" s="787"/>
      <c r="E86" s="787"/>
      <c r="F86" s="788"/>
      <c r="G86" s="187">
        <f>SUM(E58:G58,E62:G62,E66:G66,E70:G70,E74:G74)</f>
        <v>0</v>
      </c>
      <c r="H86" s="187">
        <f>SUM(H58:K58,H62:K62,H66:K66,H70:K70,H74:K74)</f>
        <v>0</v>
      </c>
      <c r="I86" s="187">
        <f>SUM(H58,H62,H66,H70,H74)</f>
        <v>0</v>
      </c>
      <c r="J86" s="187">
        <f>SUM(L58,L62,L66,L70,L74)</f>
        <v>0</v>
      </c>
      <c r="K86" s="225"/>
      <c r="L86" s="226"/>
      <c r="M86" s="10"/>
      <c r="O86" s="73" t="s">
        <v>445</v>
      </c>
      <c r="P86" s="10" t="s">
        <v>443</v>
      </c>
    </row>
    <row r="87" spans="1:16" ht="14.1" customHeight="1" x14ac:dyDescent="0.25">
      <c r="B87" s="786" t="str">
        <f>IF(Intro!$G$20="English",O87,P87)</f>
        <v>valeur - total des ventes au Canada d'importations (Question 1)</v>
      </c>
      <c r="C87" s="787"/>
      <c r="D87" s="787"/>
      <c r="E87" s="787"/>
      <c r="F87" s="788"/>
      <c r="G87" s="187">
        <f>H45</f>
        <v>0</v>
      </c>
      <c r="H87" s="187">
        <f>I45</f>
        <v>0</v>
      </c>
      <c r="I87" s="187">
        <f>J45</f>
        <v>0</v>
      </c>
      <c r="J87" s="187">
        <f>K45</f>
        <v>0</v>
      </c>
      <c r="K87" s="225"/>
      <c r="L87" s="226"/>
      <c r="M87" s="10"/>
      <c r="O87" s="10" t="s">
        <v>446</v>
      </c>
      <c r="P87" s="10" t="s">
        <v>444</v>
      </c>
    </row>
    <row r="88" spans="1:16" x14ac:dyDescent="0.25">
      <c r="B88" s="72"/>
      <c r="C88" s="82"/>
      <c r="D88" s="82"/>
      <c r="E88" s="82"/>
      <c r="F88" s="82"/>
      <c r="G88" s="82"/>
      <c r="H88" s="82"/>
      <c r="I88" s="82"/>
      <c r="J88" s="164"/>
      <c r="K88" s="164"/>
      <c r="L88" s="165"/>
      <c r="M88" s="10"/>
    </row>
    <row r="89" spans="1:16" s="207" customFormat="1" x14ac:dyDescent="0.25">
      <c r="A89" s="7"/>
      <c r="B89" s="31"/>
      <c r="C89" s="31"/>
      <c r="D89" s="89"/>
      <c r="E89" s="236"/>
      <c r="F89" s="236"/>
      <c r="G89" s="236"/>
      <c r="H89" s="236"/>
      <c r="I89" s="236"/>
      <c r="J89" s="236"/>
      <c r="K89" s="236"/>
      <c r="L89" s="236"/>
      <c r="M89" s="73"/>
    </row>
    <row r="90" spans="1:16" x14ac:dyDescent="0.25">
      <c r="B90" s="533" t="str">
        <f>IF(Intro!$G$20="English",O90,P90)</f>
        <v>IMPORTATIONS DE PRODUITS DE RÉFÉRENCE</v>
      </c>
      <c r="C90" s="534"/>
      <c r="D90" s="534"/>
      <c r="E90" s="534"/>
      <c r="F90" s="534"/>
      <c r="G90" s="534"/>
      <c r="H90" s="534"/>
      <c r="I90" s="534"/>
      <c r="J90" s="534"/>
      <c r="K90" s="534"/>
      <c r="L90" s="535"/>
      <c r="M90" s="10"/>
      <c r="O90" s="105" t="s">
        <v>332</v>
      </c>
      <c r="P90" s="105" t="s">
        <v>398</v>
      </c>
    </row>
    <row r="91" spans="1:16" x14ac:dyDescent="0.25">
      <c r="B91" s="671" t="s">
        <v>16</v>
      </c>
      <c r="C91" s="672"/>
      <c r="D91" s="672"/>
      <c r="E91" s="672"/>
      <c r="F91" s="672"/>
      <c r="G91" s="672"/>
      <c r="H91" s="672"/>
      <c r="I91" s="672"/>
      <c r="J91" s="672"/>
      <c r="K91" s="672"/>
      <c r="L91" s="673"/>
      <c r="M91" s="10"/>
    </row>
    <row r="92" spans="1:16" x14ac:dyDescent="0.25">
      <c r="B92" s="16"/>
      <c r="C92" s="35"/>
      <c r="D92" s="35"/>
      <c r="E92" s="36"/>
      <c r="F92" s="36"/>
      <c r="G92" s="36"/>
      <c r="H92" s="36"/>
      <c r="I92" s="36"/>
      <c r="J92" s="36"/>
      <c r="K92" s="36"/>
      <c r="L92" s="17"/>
      <c r="M92" s="10"/>
    </row>
    <row r="93" spans="1:16" x14ac:dyDescent="0.25">
      <c r="B93" s="530" t="str">
        <f>IF(Intro!$G$20="English",O93,P93)</f>
        <v>Indiquez le volume et la valeur des importations pour chaque produit de référence :</v>
      </c>
      <c r="C93" s="531"/>
      <c r="D93" s="531"/>
      <c r="E93" s="531"/>
      <c r="F93" s="531"/>
      <c r="G93" s="531"/>
      <c r="H93" s="531"/>
      <c r="I93" s="531"/>
      <c r="J93" s="531"/>
      <c r="K93" s="531"/>
      <c r="L93" s="532"/>
      <c r="M93" s="10"/>
      <c r="O93" s="18" t="s">
        <v>192</v>
      </c>
      <c r="P93" s="10" t="s">
        <v>193</v>
      </c>
    </row>
    <row r="94" spans="1:16" x14ac:dyDescent="0.25">
      <c r="B94" s="233"/>
      <c r="C94" s="234"/>
      <c r="D94" s="35"/>
      <c r="E94" s="36"/>
      <c r="F94" s="36"/>
      <c r="G94" s="36"/>
      <c r="H94" s="36"/>
      <c r="I94" s="36"/>
      <c r="J94" s="36"/>
      <c r="K94" s="36"/>
      <c r="L94" s="17"/>
      <c r="M94" s="10"/>
      <c r="O94" s="18"/>
    </row>
    <row r="95" spans="1:16" x14ac:dyDescent="0.25">
      <c r="B95" s="772"/>
      <c r="C95" s="773"/>
      <c r="D95" s="774"/>
      <c r="E95" s="237" t="str">
        <f t="shared" ref="E95:L95" si="12">E55</f>
        <v>T2 - 2024</v>
      </c>
      <c r="F95" s="237" t="str">
        <f t="shared" si="12"/>
        <v>T3 - 2024</v>
      </c>
      <c r="G95" s="237" t="str">
        <f t="shared" si="12"/>
        <v>T4 - 2024</v>
      </c>
      <c r="H95" s="237" t="str">
        <f t="shared" si="12"/>
        <v>T1 - 2025</v>
      </c>
      <c r="I95" s="237" t="str">
        <f t="shared" si="12"/>
        <v>T2 - 2025</v>
      </c>
      <c r="J95" s="237" t="str">
        <f t="shared" si="12"/>
        <v>T3 - 2025</v>
      </c>
      <c r="K95" s="237" t="str">
        <f t="shared" si="12"/>
        <v>T4 - 2025</v>
      </c>
      <c r="L95" s="238" t="str">
        <f t="shared" si="12"/>
        <v>T1 - 2026</v>
      </c>
      <c r="M95" s="10"/>
      <c r="O95" s="18"/>
    </row>
    <row r="96" spans="1:16" x14ac:dyDescent="0.25">
      <c r="B96" s="768" t="str">
        <f>IF(Intro!$G$20="English",Variables!B30,Variables!C30)</f>
        <v xml:space="preserve">Tubage sans soudure L80 (y compris les améliorations) avec raccord API </v>
      </c>
      <c r="C96" s="641"/>
      <c r="D96" s="641"/>
      <c r="E96" s="641"/>
      <c r="F96" s="641"/>
      <c r="G96" s="641"/>
      <c r="H96" s="641"/>
      <c r="I96" s="641"/>
      <c r="J96" s="641"/>
      <c r="K96" s="641"/>
      <c r="L96" s="769"/>
      <c r="M96" s="10"/>
    </row>
    <row r="97" spans="2:13" x14ac:dyDescent="0.25">
      <c r="B97" s="770"/>
      <c r="C97" s="647"/>
      <c r="D97" s="647"/>
      <c r="E97" s="647"/>
      <c r="F97" s="647"/>
      <c r="G97" s="647"/>
      <c r="H97" s="647"/>
      <c r="I97" s="647"/>
      <c r="J97" s="647"/>
      <c r="K97" s="647"/>
      <c r="L97" s="771"/>
      <c r="M97" s="10"/>
    </row>
    <row r="98" spans="2:13" x14ac:dyDescent="0.25">
      <c r="B98" s="747" t="str">
        <f>D$26</f>
        <v>tonnes</v>
      </c>
      <c r="C98" s="748"/>
      <c r="D98" s="748"/>
      <c r="E98" s="137"/>
      <c r="F98" s="137"/>
      <c r="G98" s="137"/>
      <c r="H98" s="137"/>
      <c r="I98" s="137"/>
      <c r="J98" s="137"/>
      <c r="K98" s="137"/>
      <c r="L98" s="138"/>
      <c r="M98" s="10"/>
    </row>
    <row r="99" spans="2:13" x14ac:dyDescent="0.25">
      <c r="B99" s="747" t="str">
        <f>D$27</f>
        <v>valeur d'achat nette rendue (CAD)</v>
      </c>
      <c r="C99" s="748"/>
      <c r="D99" s="748"/>
      <c r="E99" s="137"/>
      <c r="F99" s="137"/>
      <c r="G99" s="137"/>
      <c r="H99" s="137"/>
      <c r="I99" s="137"/>
      <c r="J99" s="137"/>
      <c r="K99" s="137"/>
      <c r="L99" s="138"/>
      <c r="M99" s="10"/>
    </row>
    <row r="100" spans="2:13" x14ac:dyDescent="0.25">
      <c r="B100" s="747" t="str">
        <f>D$28</f>
        <v>$ / tonne</v>
      </c>
      <c r="C100" s="748"/>
      <c r="D100" s="748"/>
      <c r="E100" s="151" t="str">
        <f t="shared" ref="E100:L100" si="13">IF(E98=0,"-",E99/E98)</f>
        <v>-</v>
      </c>
      <c r="F100" s="151" t="str">
        <f t="shared" si="13"/>
        <v>-</v>
      </c>
      <c r="G100" s="151" t="str">
        <f t="shared" si="13"/>
        <v>-</v>
      </c>
      <c r="H100" s="151" t="str">
        <f t="shared" si="13"/>
        <v>-</v>
      </c>
      <c r="I100" s="151" t="str">
        <f t="shared" si="13"/>
        <v>-</v>
      </c>
      <c r="J100" s="151" t="str">
        <f t="shared" si="13"/>
        <v>-</v>
      </c>
      <c r="K100" s="151" t="str">
        <f t="shared" si="13"/>
        <v>-</v>
      </c>
      <c r="L100" s="152" t="str">
        <f t="shared" si="13"/>
        <v>-</v>
      </c>
      <c r="M100" s="10"/>
    </row>
    <row r="101" spans="2:13" x14ac:dyDescent="0.25">
      <c r="B101" s="768" t="str">
        <f>IF(Intro!$G$20="English",Variables!B31,Variables!C31)</f>
        <v>Tubage soudé L80 (y compris les améliorations) avec raccord API</v>
      </c>
      <c r="C101" s="641"/>
      <c r="D101" s="641"/>
      <c r="E101" s="641"/>
      <c r="F101" s="641"/>
      <c r="G101" s="641"/>
      <c r="H101" s="641"/>
      <c r="I101" s="641"/>
      <c r="J101" s="641"/>
      <c r="K101" s="641"/>
      <c r="L101" s="769"/>
      <c r="M101" s="10"/>
    </row>
    <row r="102" spans="2:13" x14ac:dyDescent="0.25">
      <c r="B102" s="770"/>
      <c r="C102" s="647"/>
      <c r="D102" s="647"/>
      <c r="E102" s="647"/>
      <c r="F102" s="647"/>
      <c r="G102" s="647"/>
      <c r="H102" s="647"/>
      <c r="I102" s="647"/>
      <c r="J102" s="647"/>
      <c r="K102" s="647"/>
      <c r="L102" s="771"/>
      <c r="M102" s="10"/>
    </row>
    <row r="103" spans="2:13" x14ac:dyDescent="0.25">
      <c r="B103" s="747" t="str">
        <f>D$26</f>
        <v>tonnes</v>
      </c>
      <c r="C103" s="748"/>
      <c r="D103" s="748"/>
      <c r="E103" s="137"/>
      <c r="F103" s="137"/>
      <c r="G103" s="137"/>
      <c r="H103" s="137"/>
      <c r="I103" s="137"/>
      <c r="J103" s="137"/>
      <c r="K103" s="137"/>
      <c r="L103" s="138"/>
      <c r="M103" s="10"/>
    </row>
    <row r="104" spans="2:13" x14ac:dyDescent="0.25">
      <c r="B104" s="747" t="str">
        <f>D$27</f>
        <v>valeur d'achat nette rendue (CAD)</v>
      </c>
      <c r="C104" s="748"/>
      <c r="D104" s="748"/>
      <c r="E104" s="137"/>
      <c r="F104" s="137"/>
      <c r="G104" s="137"/>
      <c r="H104" s="137"/>
      <c r="I104" s="137"/>
      <c r="J104" s="137"/>
      <c r="K104" s="137"/>
      <c r="L104" s="138"/>
      <c r="M104" s="10"/>
    </row>
    <row r="105" spans="2:13" x14ac:dyDescent="0.25">
      <c r="B105" s="747" t="str">
        <f>D$28</f>
        <v>$ / tonne</v>
      </c>
      <c r="C105" s="748"/>
      <c r="D105" s="748"/>
      <c r="E105" s="151" t="str">
        <f t="shared" ref="E105:L105" si="14">IF(E103=0,"-",E104/E103)</f>
        <v>-</v>
      </c>
      <c r="F105" s="151" t="str">
        <f t="shared" si="14"/>
        <v>-</v>
      </c>
      <c r="G105" s="151" t="str">
        <f t="shared" si="14"/>
        <v>-</v>
      </c>
      <c r="H105" s="151" t="str">
        <f t="shared" si="14"/>
        <v>-</v>
      </c>
      <c r="I105" s="151" t="str">
        <f t="shared" si="14"/>
        <v>-</v>
      </c>
      <c r="J105" s="151" t="str">
        <f t="shared" si="14"/>
        <v>-</v>
      </c>
      <c r="K105" s="151" t="str">
        <f t="shared" si="14"/>
        <v>-</v>
      </c>
      <c r="L105" s="152" t="str">
        <f t="shared" si="14"/>
        <v>-</v>
      </c>
      <c r="M105" s="10"/>
    </row>
    <row r="106" spans="2:13" x14ac:dyDescent="0.25">
      <c r="B106" s="768" t="str">
        <f>IF(Intro!$G$20="English",Variables!B32,Variables!C32)</f>
        <v xml:space="preserve">Tubage sans soudure L80 (y compris les améliorations) avec raccord de qualité semi-supérieure </v>
      </c>
      <c r="C106" s="641"/>
      <c r="D106" s="641"/>
      <c r="E106" s="641"/>
      <c r="F106" s="641"/>
      <c r="G106" s="641"/>
      <c r="H106" s="641"/>
      <c r="I106" s="641"/>
      <c r="J106" s="641"/>
      <c r="K106" s="641"/>
      <c r="L106" s="769"/>
      <c r="M106" s="10"/>
    </row>
    <row r="107" spans="2:13" x14ac:dyDescent="0.25">
      <c r="B107" s="770"/>
      <c r="C107" s="647"/>
      <c r="D107" s="647"/>
      <c r="E107" s="647"/>
      <c r="F107" s="647"/>
      <c r="G107" s="647"/>
      <c r="H107" s="647"/>
      <c r="I107" s="647"/>
      <c r="J107" s="647"/>
      <c r="K107" s="647"/>
      <c r="L107" s="771"/>
      <c r="M107" s="10"/>
    </row>
    <row r="108" spans="2:13" x14ac:dyDescent="0.25">
      <c r="B108" s="747" t="str">
        <f>D$26</f>
        <v>tonnes</v>
      </c>
      <c r="C108" s="748"/>
      <c r="D108" s="748"/>
      <c r="E108" s="137"/>
      <c r="F108" s="137"/>
      <c r="G108" s="137"/>
      <c r="H108" s="137"/>
      <c r="I108" s="137"/>
      <c r="J108" s="137"/>
      <c r="K108" s="137"/>
      <c r="L108" s="138"/>
      <c r="M108" s="10"/>
    </row>
    <row r="109" spans="2:13" x14ac:dyDescent="0.25">
      <c r="B109" s="747" t="str">
        <f>D$27</f>
        <v>valeur d'achat nette rendue (CAD)</v>
      </c>
      <c r="C109" s="748"/>
      <c r="D109" s="748"/>
      <c r="E109" s="137"/>
      <c r="F109" s="137"/>
      <c r="G109" s="137"/>
      <c r="H109" s="137"/>
      <c r="I109" s="137"/>
      <c r="J109" s="137"/>
      <c r="K109" s="137"/>
      <c r="L109" s="138"/>
      <c r="M109" s="10"/>
    </row>
    <row r="110" spans="2:13" x14ac:dyDescent="0.25">
      <c r="B110" s="747" t="str">
        <f>D$28</f>
        <v>$ / tonne</v>
      </c>
      <c r="C110" s="748"/>
      <c r="D110" s="748"/>
      <c r="E110" s="151" t="str">
        <f t="shared" ref="E110:L110" si="15">IF(E108=0,"-",E109/E108)</f>
        <v>-</v>
      </c>
      <c r="F110" s="151" t="str">
        <f t="shared" si="15"/>
        <v>-</v>
      </c>
      <c r="G110" s="151" t="str">
        <f t="shared" si="15"/>
        <v>-</v>
      </c>
      <c r="H110" s="151" t="str">
        <f t="shared" si="15"/>
        <v>-</v>
      </c>
      <c r="I110" s="151" t="str">
        <f t="shared" si="15"/>
        <v>-</v>
      </c>
      <c r="J110" s="151" t="str">
        <f t="shared" si="15"/>
        <v>-</v>
      </c>
      <c r="K110" s="151" t="str">
        <f t="shared" si="15"/>
        <v>-</v>
      </c>
      <c r="L110" s="152" t="str">
        <f t="shared" si="15"/>
        <v>-</v>
      </c>
      <c r="M110" s="10"/>
    </row>
    <row r="111" spans="2:13" x14ac:dyDescent="0.25">
      <c r="B111" s="768" t="str">
        <f>IF(Intro!$G$20="English",Variables!B33,Variables!C33)</f>
        <v xml:space="preserve">Tubage soudé L80 (y compris les améliorations) avec raccord de qualité semi-supérieure </v>
      </c>
      <c r="C111" s="641"/>
      <c r="D111" s="641"/>
      <c r="E111" s="641"/>
      <c r="F111" s="641"/>
      <c r="G111" s="641"/>
      <c r="H111" s="641"/>
      <c r="I111" s="641"/>
      <c r="J111" s="641"/>
      <c r="K111" s="641"/>
      <c r="L111" s="769"/>
      <c r="M111" s="10"/>
    </row>
    <row r="112" spans="2:13" x14ac:dyDescent="0.25">
      <c r="B112" s="770"/>
      <c r="C112" s="647"/>
      <c r="D112" s="647"/>
      <c r="E112" s="647"/>
      <c r="F112" s="647"/>
      <c r="G112" s="647"/>
      <c r="H112" s="647"/>
      <c r="I112" s="647"/>
      <c r="J112" s="647"/>
      <c r="K112" s="647"/>
      <c r="L112" s="771"/>
      <c r="M112" s="10"/>
    </row>
    <row r="113" spans="2:13" x14ac:dyDescent="0.25">
      <c r="B113" s="747" t="str">
        <f>D$26</f>
        <v>tonnes</v>
      </c>
      <c r="C113" s="748"/>
      <c r="D113" s="748"/>
      <c r="E113" s="137"/>
      <c r="F113" s="137"/>
      <c r="G113" s="137"/>
      <c r="H113" s="137"/>
      <c r="I113" s="137"/>
      <c r="J113" s="137"/>
      <c r="K113" s="137"/>
      <c r="L113" s="138"/>
      <c r="M113" s="10"/>
    </row>
    <row r="114" spans="2:13" x14ac:dyDescent="0.25">
      <c r="B114" s="747" t="str">
        <f>D$27</f>
        <v>valeur d'achat nette rendue (CAD)</v>
      </c>
      <c r="C114" s="748"/>
      <c r="D114" s="748"/>
      <c r="E114" s="137"/>
      <c r="F114" s="137"/>
      <c r="G114" s="137"/>
      <c r="H114" s="137"/>
      <c r="I114" s="137"/>
      <c r="J114" s="137"/>
      <c r="K114" s="137"/>
      <c r="L114" s="138"/>
      <c r="M114" s="10"/>
    </row>
    <row r="115" spans="2:13" x14ac:dyDescent="0.25">
      <c r="B115" s="747" t="str">
        <f>D$28</f>
        <v>$ / tonne</v>
      </c>
      <c r="C115" s="748"/>
      <c r="D115" s="748"/>
      <c r="E115" s="151" t="str">
        <f t="shared" ref="E115:L115" si="16">IF(E113=0,"-",E114/E113)</f>
        <v>-</v>
      </c>
      <c r="F115" s="151" t="str">
        <f t="shared" si="16"/>
        <v>-</v>
      </c>
      <c r="G115" s="151" t="str">
        <f t="shared" si="16"/>
        <v>-</v>
      </c>
      <c r="H115" s="151" t="str">
        <f t="shared" si="16"/>
        <v>-</v>
      </c>
      <c r="I115" s="151" t="str">
        <f t="shared" si="16"/>
        <v>-</v>
      </c>
      <c r="J115" s="151" t="str">
        <f t="shared" si="16"/>
        <v>-</v>
      </c>
      <c r="K115" s="151" t="str">
        <f t="shared" si="16"/>
        <v>-</v>
      </c>
      <c r="L115" s="152" t="str">
        <f t="shared" si="16"/>
        <v>-</v>
      </c>
      <c r="M115" s="10"/>
    </row>
    <row r="116" spans="2:13" x14ac:dyDescent="0.25">
      <c r="B116" s="768" t="str">
        <f>IF(Intro!$G$20="English",Variables!B34,Variables!C34)</f>
        <v xml:space="preserve">Tubage sans soudure P110 (y compris les améliorations) avec raccord API </v>
      </c>
      <c r="C116" s="641"/>
      <c r="D116" s="641"/>
      <c r="E116" s="641"/>
      <c r="F116" s="641"/>
      <c r="G116" s="641"/>
      <c r="H116" s="641"/>
      <c r="I116" s="641"/>
      <c r="J116" s="641"/>
      <c r="K116" s="641"/>
      <c r="L116" s="769"/>
      <c r="M116" s="10"/>
    </row>
    <row r="117" spans="2:13" x14ac:dyDescent="0.25">
      <c r="B117" s="770"/>
      <c r="C117" s="647"/>
      <c r="D117" s="647"/>
      <c r="E117" s="647"/>
      <c r="F117" s="647"/>
      <c r="G117" s="647"/>
      <c r="H117" s="647"/>
      <c r="I117" s="647"/>
      <c r="J117" s="647"/>
      <c r="K117" s="647"/>
      <c r="L117" s="771"/>
      <c r="M117" s="10"/>
    </row>
    <row r="118" spans="2:13" x14ac:dyDescent="0.25">
      <c r="B118" s="747" t="str">
        <f>D$26</f>
        <v>tonnes</v>
      </c>
      <c r="C118" s="748"/>
      <c r="D118" s="748"/>
      <c r="E118" s="137"/>
      <c r="F118" s="137"/>
      <c r="G118" s="137"/>
      <c r="H118" s="137"/>
      <c r="I118" s="137"/>
      <c r="J118" s="137"/>
      <c r="K118" s="137"/>
      <c r="L118" s="138"/>
      <c r="M118" s="10"/>
    </row>
    <row r="119" spans="2:13" x14ac:dyDescent="0.25">
      <c r="B119" s="747" t="str">
        <f>D$27</f>
        <v>valeur d'achat nette rendue (CAD)</v>
      </c>
      <c r="C119" s="748"/>
      <c r="D119" s="748"/>
      <c r="E119" s="137"/>
      <c r="F119" s="137"/>
      <c r="G119" s="137"/>
      <c r="H119" s="137"/>
      <c r="I119" s="137"/>
      <c r="J119" s="137"/>
      <c r="K119" s="137"/>
      <c r="L119" s="138"/>
      <c r="M119" s="10"/>
    </row>
    <row r="120" spans="2:13" x14ac:dyDescent="0.25">
      <c r="B120" s="747" t="str">
        <f>D$28</f>
        <v>$ / tonne</v>
      </c>
      <c r="C120" s="748"/>
      <c r="D120" s="748"/>
      <c r="E120" s="151" t="str">
        <f t="shared" ref="E120:L120" si="17">IF(E118=0,"-",E119/E118)</f>
        <v>-</v>
      </c>
      <c r="F120" s="151" t="str">
        <f t="shared" si="17"/>
        <v>-</v>
      </c>
      <c r="G120" s="151" t="str">
        <f t="shared" si="17"/>
        <v>-</v>
      </c>
      <c r="H120" s="151" t="str">
        <f t="shared" si="17"/>
        <v>-</v>
      </c>
      <c r="I120" s="151" t="str">
        <f t="shared" si="17"/>
        <v>-</v>
      </c>
      <c r="J120" s="151" t="str">
        <f t="shared" si="17"/>
        <v>-</v>
      </c>
      <c r="K120" s="151" t="str">
        <f t="shared" si="17"/>
        <v>-</v>
      </c>
      <c r="L120" s="152" t="str">
        <f t="shared" si="17"/>
        <v>-</v>
      </c>
      <c r="M120" s="10"/>
    </row>
    <row r="121" spans="2:13" x14ac:dyDescent="0.25">
      <c r="B121" s="768" t="str">
        <f>IF(Intro!$G$20="English",Variables!B35,Variables!C35)</f>
        <v xml:space="preserve">Tubage soudé P110 (y compris les améliorations) avec raccord API </v>
      </c>
      <c r="C121" s="641"/>
      <c r="D121" s="641"/>
      <c r="E121" s="641"/>
      <c r="F121" s="641"/>
      <c r="G121" s="641"/>
      <c r="H121" s="641"/>
      <c r="I121" s="641"/>
      <c r="J121" s="641"/>
      <c r="K121" s="641"/>
      <c r="L121" s="769"/>
      <c r="M121" s="10"/>
    </row>
    <row r="122" spans="2:13" x14ac:dyDescent="0.25">
      <c r="B122" s="770"/>
      <c r="C122" s="647"/>
      <c r="D122" s="647"/>
      <c r="E122" s="647"/>
      <c r="F122" s="647"/>
      <c r="G122" s="647"/>
      <c r="H122" s="647"/>
      <c r="I122" s="647"/>
      <c r="J122" s="647"/>
      <c r="K122" s="647"/>
      <c r="L122" s="771"/>
      <c r="M122" s="10"/>
    </row>
    <row r="123" spans="2:13" x14ac:dyDescent="0.25">
      <c r="B123" s="747" t="str">
        <f>D$26</f>
        <v>tonnes</v>
      </c>
      <c r="C123" s="748"/>
      <c r="D123" s="748"/>
      <c r="E123" s="137"/>
      <c r="F123" s="137"/>
      <c r="G123" s="137"/>
      <c r="H123" s="137"/>
      <c r="I123" s="137"/>
      <c r="J123" s="137"/>
      <c r="K123" s="137"/>
      <c r="L123" s="138"/>
      <c r="M123" s="10"/>
    </row>
    <row r="124" spans="2:13" x14ac:dyDescent="0.25">
      <c r="B124" s="747" t="str">
        <f>D$27</f>
        <v>valeur d'achat nette rendue (CAD)</v>
      </c>
      <c r="C124" s="748"/>
      <c r="D124" s="748"/>
      <c r="E124" s="137"/>
      <c r="F124" s="137"/>
      <c r="G124" s="137"/>
      <c r="H124" s="137"/>
      <c r="I124" s="137"/>
      <c r="J124" s="137"/>
      <c r="K124" s="137"/>
      <c r="L124" s="138"/>
      <c r="M124" s="10"/>
    </row>
    <row r="125" spans="2:13" x14ac:dyDescent="0.25">
      <c r="B125" s="747" t="str">
        <f>D$28</f>
        <v>$ / tonne</v>
      </c>
      <c r="C125" s="748"/>
      <c r="D125" s="748"/>
      <c r="E125" s="151" t="str">
        <f t="shared" ref="E125:L125" si="18">IF(E123=0,"-",E124/E123)</f>
        <v>-</v>
      </c>
      <c r="F125" s="151" t="str">
        <f t="shared" si="18"/>
        <v>-</v>
      </c>
      <c r="G125" s="151" t="str">
        <f t="shared" si="18"/>
        <v>-</v>
      </c>
      <c r="H125" s="151" t="str">
        <f t="shared" si="18"/>
        <v>-</v>
      </c>
      <c r="I125" s="151" t="str">
        <f t="shared" si="18"/>
        <v>-</v>
      </c>
      <c r="J125" s="151" t="str">
        <f t="shared" si="18"/>
        <v>-</v>
      </c>
      <c r="K125" s="151" t="str">
        <f t="shared" si="18"/>
        <v>-</v>
      </c>
      <c r="L125" s="152" t="str">
        <f t="shared" si="18"/>
        <v>-</v>
      </c>
      <c r="M125" s="10"/>
    </row>
    <row r="126" spans="2:13" x14ac:dyDescent="0.25">
      <c r="B126" s="768" t="str">
        <f>IF(Intro!$G$20="English",Variables!B36,Variables!C36)</f>
        <v>Tubage sans soudure P110 (y compris les améliorations) avec raccord de qualité semi-supérieure</v>
      </c>
      <c r="C126" s="641"/>
      <c r="D126" s="641"/>
      <c r="E126" s="641"/>
      <c r="F126" s="641"/>
      <c r="G126" s="641"/>
      <c r="H126" s="641"/>
      <c r="I126" s="641"/>
      <c r="J126" s="641"/>
      <c r="K126" s="641"/>
      <c r="L126" s="769"/>
      <c r="M126" s="10"/>
    </row>
    <row r="127" spans="2:13" x14ac:dyDescent="0.25">
      <c r="B127" s="770"/>
      <c r="C127" s="647"/>
      <c r="D127" s="647"/>
      <c r="E127" s="647"/>
      <c r="F127" s="647"/>
      <c r="G127" s="647"/>
      <c r="H127" s="647"/>
      <c r="I127" s="647"/>
      <c r="J127" s="647"/>
      <c r="K127" s="647"/>
      <c r="L127" s="771"/>
      <c r="M127" s="10"/>
    </row>
    <row r="128" spans="2:13" x14ac:dyDescent="0.25">
      <c r="B128" s="747" t="str">
        <f>D$26</f>
        <v>tonnes</v>
      </c>
      <c r="C128" s="748"/>
      <c r="D128" s="748"/>
      <c r="E128" s="137"/>
      <c r="F128" s="137"/>
      <c r="G128" s="137"/>
      <c r="H128" s="137"/>
      <c r="I128" s="137"/>
      <c r="J128" s="137"/>
      <c r="K128" s="137"/>
      <c r="L128" s="138"/>
      <c r="M128" s="10"/>
    </row>
    <row r="129" spans="2:13" x14ac:dyDescent="0.25">
      <c r="B129" s="747" t="str">
        <f>D$27</f>
        <v>valeur d'achat nette rendue (CAD)</v>
      </c>
      <c r="C129" s="748"/>
      <c r="D129" s="748"/>
      <c r="E129" s="137"/>
      <c r="F129" s="137"/>
      <c r="G129" s="137"/>
      <c r="H129" s="137"/>
      <c r="I129" s="137"/>
      <c r="J129" s="137"/>
      <c r="K129" s="137"/>
      <c r="L129" s="138"/>
      <c r="M129" s="10"/>
    </row>
    <row r="130" spans="2:13" x14ac:dyDescent="0.25">
      <c r="B130" s="747" t="str">
        <f>D$28</f>
        <v>$ / tonne</v>
      </c>
      <c r="C130" s="748"/>
      <c r="D130" s="748"/>
      <c r="E130" s="151" t="str">
        <f t="shared" ref="E130:L130" si="19">IF(E128=0,"-",E129/E128)</f>
        <v>-</v>
      </c>
      <c r="F130" s="151" t="str">
        <f t="shared" si="19"/>
        <v>-</v>
      </c>
      <c r="G130" s="151" t="str">
        <f t="shared" si="19"/>
        <v>-</v>
      </c>
      <c r="H130" s="151" t="str">
        <f t="shared" si="19"/>
        <v>-</v>
      </c>
      <c r="I130" s="151" t="str">
        <f t="shared" si="19"/>
        <v>-</v>
      </c>
      <c r="J130" s="151" t="str">
        <f t="shared" si="19"/>
        <v>-</v>
      </c>
      <c r="K130" s="151" t="str">
        <f t="shared" si="19"/>
        <v>-</v>
      </c>
      <c r="L130" s="152" t="str">
        <f t="shared" si="19"/>
        <v>-</v>
      </c>
      <c r="M130" s="10"/>
    </row>
    <row r="131" spans="2:13" x14ac:dyDescent="0.25">
      <c r="B131" s="768" t="str">
        <f>IF(Intro!$G$20="English",Variables!B37,Variables!C37)</f>
        <v>Tubage soudé P110 (y compris les améliorations) avec raccord de qualité semi-supérieure</v>
      </c>
      <c r="C131" s="641"/>
      <c r="D131" s="641"/>
      <c r="E131" s="641"/>
      <c r="F131" s="641"/>
      <c r="G131" s="641"/>
      <c r="H131" s="641"/>
      <c r="I131" s="641"/>
      <c r="J131" s="641"/>
      <c r="K131" s="641"/>
      <c r="L131" s="769"/>
      <c r="M131" s="10"/>
    </row>
    <row r="132" spans="2:13" x14ac:dyDescent="0.25">
      <c r="B132" s="770"/>
      <c r="C132" s="647"/>
      <c r="D132" s="647"/>
      <c r="E132" s="647"/>
      <c r="F132" s="647"/>
      <c r="G132" s="647"/>
      <c r="H132" s="647"/>
      <c r="I132" s="647"/>
      <c r="J132" s="647"/>
      <c r="K132" s="647"/>
      <c r="L132" s="771"/>
      <c r="M132" s="10"/>
    </row>
    <row r="133" spans="2:13" x14ac:dyDescent="0.25">
      <c r="B133" s="747" t="str">
        <f>D$26</f>
        <v>tonnes</v>
      </c>
      <c r="C133" s="748"/>
      <c r="D133" s="748"/>
      <c r="E133" s="137"/>
      <c r="F133" s="137"/>
      <c r="G133" s="137"/>
      <c r="H133" s="137"/>
      <c r="I133" s="137"/>
      <c r="J133" s="137"/>
      <c r="K133" s="137"/>
      <c r="L133" s="138"/>
      <c r="M133" s="10"/>
    </row>
    <row r="134" spans="2:13" x14ac:dyDescent="0.25">
      <c r="B134" s="747" t="str">
        <f>D$27</f>
        <v>valeur d'achat nette rendue (CAD)</v>
      </c>
      <c r="C134" s="748"/>
      <c r="D134" s="748"/>
      <c r="E134" s="137"/>
      <c r="F134" s="137"/>
      <c r="G134" s="137"/>
      <c r="H134" s="137"/>
      <c r="I134" s="137"/>
      <c r="J134" s="137"/>
      <c r="K134" s="137"/>
      <c r="L134" s="138"/>
      <c r="M134" s="10"/>
    </row>
    <row r="135" spans="2:13" x14ac:dyDescent="0.25">
      <c r="B135" s="747" t="str">
        <f>D$28</f>
        <v>$ / tonne</v>
      </c>
      <c r="C135" s="748"/>
      <c r="D135" s="748"/>
      <c r="E135" s="151" t="str">
        <f t="shared" ref="E135:L135" si="20">IF(E133=0,"-",E134/E133)</f>
        <v>-</v>
      </c>
      <c r="F135" s="151" t="str">
        <f t="shared" si="20"/>
        <v>-</v>
      </c>
      <c r="G135" s="151" t="str">
        <f t="shared" si="20"/>
        <v>-</v>
      </c>
      <c r="H135" s="151" t="str">
        <f t="shared" si="20"/>
        <v>-</v>
      </c>
      <c r="I135" s="151" t="str">
        <f t="shared" si="20"/>
        <v>-</v>
      </c>
      <c r="J135" s="151" t="str">
        <f t="shared" si="20"/>
        <v>-</v>
      </c>
      <c r="K135" s="151" t="str">
        <f t="shared" si="20"/>
        <v>-</v>
      </c>
      <c r="L135" s="152" t="str">
        <f t="shared" si="20"/>
        <v>-</v>
      </c>
      <c r="M135" s="10"/>
    </row>
    <row r="136" spans="2:13" x14ac:dyDescent="0.25">
      <c r="B136" s="768" t="str">
        <f>IF(Intro!$G$20="English",Variables!B38,Variables!C38)</f>
        <v>Tubage sans soudure T95 (y compris les améliorations) avec raccord semi-supérieure</v>
      </c>
      <c r="C136" s="641"/>
      <c r="D136" s="641"/>
      <c r="E136" s="641"/>
      <c r="F136" s="641"/>
      <c r="G136" s="641"/>
      <c r="H136" s="641"/>
      <c r="I136" s="641"/>
      <c r="J136" s="641"/>
      <c r="K136" s="641"/>
      <c r="L136" s="769"/>
      <c r="M136" s="10"/>
    </row>
    <row r="137" spans="2:13" x14ac:dyDescent="0.25">
      <c r="B137" s="770"/>
      <c r="C137" s="647"/>
      <c r="D137" s="647"/>
      <c r="E137" s="647"/>
      <c r="F137" s="647"/>
      <c r="G137" s="647"/>
      <c r="H137" s="647"/>
      <c r="I137" s="647"/>
      <c r="J137" s="647"/>
      <c r="K137" s="647"/>
      <c r="L137" s="771"/>
      <c r="M137" s="10"/>
    </row>
    <row r="138" spans="2:13" x14ac:dyDescent="0.25">
      <c r="B138" s="747" t="str">
        <f>D$26</f>
        <v>tonnes</v>
      </c>
      <c r="C138" s="748"/>
      <c r="D138" s="748"/>
      <c r="E138" s="137"/>
      <c r="F138" s="137"/>
      <c r="G138" s="137"/>
      <c r="H138" s="137"/>
      <c r="I138" s="137"/>
      <c r="J138" s="137"/>
      <c r="K138" s="137"/>
      <c r="L138" s="138"/>
      <c r="M138" s="10"/>
    </row>
    <row r="139" spans="2:13" x14ac:dyDescent="0.25">
      <c r="B139" s="747" t="str">
        <f>D$27</f>
        <v>valeur d'achat nette rendue (CAD)</v>
      </c>
      <c r="C139" s="748"/>
      <c r="D139" s="748"/>
      <c r="E139" s="137"/>
      <c r="F139" s="137"/>
      <c r="G139" s="137"/>
      <c r="H139" s="137"/>
      <c r="I139" s="137"/>
      <c r="J139" s="137"/>
      <c r="K139" s="137"/>
      <c r="L139" s="138"/>
      <c r="M139" s="10"/>
    </row>
    <row r="140" spans="2:13" x14ac:dyDescent="0.25">
      <c r="B140" s="747" t="str">
        <f>D$28</f>
        <v>$ / tonne</v>
      </c>
      <c r="C140" s="748"/>
      <c r="D140" s="748"/>
      <c r="E140" s="151" t="str">
        <f t="shared" ref="E140:L140" si="21">IF(E138=0,"-",E139/E138)</f>
        <v>-</v>
      </c>
      <c r="F140" s="151" t="str">
        <f t="shared" si="21"/>
        <v>-</v>
      </c>
      <c r="G140" s="151" t="str">
        <f t="shared" si="21"/>
        <v>-</v>
      </c>
      <c r="H140" s="151" t="str">
        <f t="shared" si="21"/>
        <v>-</v>
      </c>
      <c r="I140" s="151" t="str">
        <f t="shared" si="21"/>
        <v>-</v>
      </c>
      <c r="J140" s="151" t="str">
        <f t="shared" si="21"/>
        <v>-</v>
      </c>
      <c r="K140" s="151" t="str">
        <f t="shared" si="21"/>
        <v>-</v>
      </c>
      <c r="L140" s="152" t="str">
        <f t="shared" si="21"/>
        <v>-</v>
      </c>
      <c r="M140" s="10"/>
    </row>
    <row r="141" spans="2:13" x14ac:dyDescent="0.25">
      <c r="B141" s="768" t="str">
        <f>IF(Intro!$G$20="English",Variables!B39,Variables!C39)</f>
        <v>Tubage sans soudure P110S (y compris les améliorations) ou nuance similaire pour milieux modérément acides avec raccord de qualité semi-supérieure</v>
      </c>
      <c r="C141" s="641"/>
      <c r="D141" s="641"/>
      <c r="E141" s="641"/>
      <c r="F141" s="641"/>
      <c r="G141" s="641"/>
      <c r="H141" s="641"/>
      <c r="I141" s="641"/>
      <c r="J141" s="641"/>
      <c r="K141" s="641"/>
      <c r="L141" s="769"/>
      <c r="M141" s="10"/>
    </row>
    <row r="142" spans="2:13" x14ac:dyDescent="0.25">
      <c r="B142" s="770"/>
      <c r="C142" s="647"/>
      <c r="D142" s="647"/>
      <c r="E142" s="647"/>
      <c r="F142" s="647"/>
      <c r="G142" s="647"/>
      <c r="H142" s="647"/>
      <c r="I142" s="647"/>
      <c r="J142" s="647"/>
      <c r="K142" s="647"/>
      <c r="L142" s="771"/>
      <c r="M142" s="10"/>
    </row>
    <row r="143" spans="2:13" x14ac:dyDescent="0.25">
      <c r="B143" s="747" t="str">
        <f>D$26</f>
        <v>tonnes</v>
      </c>
      <c r="C143" s="748"/>
      <c r="D143" s="748"/>
      <c r="E143" s="137"/>
      <c r="F143" s="137"/>
      <c r="G143" s="137"/>
      <c r="H143" s="137"/>
      <c r="I143" s="137"/>
      <c r="J143" s="137"/>
      <c r="K143" s="137"/>
      <c r="L143" s="138"/>
      <c r="M143" s="10"/>
    </row>
    <row r="144" spans="2:13" x14ac:dyDescent="0.25">
      <c r="B144" s="747" t="str">
        <f>D$27</f>
        <v>valeur d'achat nette rendue (CAD)</v>
      </c>
      <c r="C144" s="748"/>
      <c r="D144" s="748"/>
      <c r="E144" s="137"/>
      <c r="F144" s="137"/>
      <c r="G144" s="137"/>
      <c r="H144" s="137"/>
      <c r="I144" s="137"/>
      <c r="J144" s="137"/>
      <c r="K144" s="137"/>
      <c r="L144" s="138"/>
      <c r="M144" s="10"/>
    </row>
    <row r="145" spans="1:19" x14ac:dyDescent="0.25">
      <c r="B145" s="747" t="str">
        <f>D$28</f>
        <v>$ / tonne</v>
      </c>
      <c r="C145" s="748"/>
      <c r="D145" s="748"/>
      <c r="E145" s="151" t="str">
        <f t="shared" ref="E145:L145" si="22">IF(E143=0,"-",E144/E143)</f>
        <v>-</v>
      </c>
      <c r="F145" s="151" t="str">
        <f t="shared" si="22"/>
        <v>-</v>
      </c>
      <c r="G145" s="151" t="str">
        <f t="shared" si="22"/>
        <v>-</v>
      </c>
      <c r="H145" s="151" t="str">
        <f t="shared" si="22"/>
        <v>-</v>
      </c>
      <c r="I145" s="151" t="str">
        <f t="shared" si="22"/>
        <v>-</v>
      </c>
      <c r="J145" s="151" t="str">
        <f t="shared" si="22"/>
        <v>-</v>
      </c>
      <c r="K145" s="151" t="str">
        <f t="shared" si="22"/>
        <v>-</v>
      </c>
      <c r="L145" s="152" t="str">
        <f t="shared" si="22"/>
        <v>-</v>
      </c>
      <c r="M145" s="10"/>
    </row>
    <row r="146" spans="1:19" x14ac:dyDescent="0.25">
      <c r="B146" s="260"/>
      <c r="C146" s="261"/>
      <c r="D146" s="261"/>
      <c r="E146" s="29"/>
      <c r="F146" s="29"/>
      <c r="G146" s="29"/>
      <c r="H146" s="29"/>
      <c r="I146" s="29"/>
      <c r="J146" s="29"/>
      <c r="K146" s="29"/>
      <c r="L146" s="30"/>
      <c r="M146" s="10"/>
    </row>
    <row r="147" spans="1:19" x14ac:dyDescent="0.25">
      <c r="B147" s="530" t="str">
        <f>IF(Intro!$G$20="English",O147,P147)</f>
        <v>Dans le tableau ci-dessous, « Erreur » signifie que les importations totales des produits de référence de votre entreprise dépassent les importations totales de votre entreprise pour cette période. Par conséquent, veuillez modifier les données ci-dessus si nécessaire.</v>
      </c>
      <c r="C147" s="531"/>
      <c r="D147" s="531"/>
      <c r="E147" s="531"/>
      <c r="F147" s="531"/>
      <c r="G147" s="531"/>
      <c r="H147" s="531"/>
      <c r="I147" s="531"/>
      <c r="J147" s="531"/>
      <c r="K147" s="531"/>
      <c r="L147" s="532"/>
      <c r="M147" s="10"/>
      <c r="O147" s="10" t="s">
        <v>361</v>
      </c>
      <c r="P147" s="10" t="s">
        <v>362</v>
      </c>
      <c r="S147" s="38"/>
    </row>
    <row r="148" spans="1:19" x14ac:dyDescent="0.25">
      <c r="B148" s="530"/>
      <c r="C148" s="531"/>
      <c r="D148" s="531"/>
      <c r="E148" s="531"/>
      <c r="F148" s="531"/>
      <c r="G148" s="531"/>
      <c r="H148" s="531"/>
      <c r="I148" s="531"/>
      <c r="J148" s="531"/>
      <c r="K148" s="531"/>
      <c r="L148" s="532"/>
      <c r="M148" s="10"/>
      <c r="S148" s="38"/>
    </row>
    <row r="149" spans="1:19" x14ac:dyDescent="0.25">
      <c r="B149" s="233"/>
      <c r="C149" s="234"/>
      <c r="D149" s="234"/>
      <c r="E149" s="29"/>
      <c r="F149" s="29"/>
      <c r="G149" s="29"/>
      <c r="H149" s="29"/>
      <c r="I149" s="29"/>
      <c r="J149" s="29"/>
      <c r="K149" s="29"/>
      <c r="L149" s="30"/>
      <c r="M149" s="10"/>
      <c r="S149" s="38"/>
    </row>
    <row r="150" spans="1:19" ht="14.1" customHeight="1" x14ac:dyDescent="0.25">
      <c r="B150" s="760" t="str">
        <f>Variables!D66</f>
        <v>Vérification - volume</v>
      </c>
      <c r="C150" s="761"/>
      <c r="D150" s="761"/>
      <c r="E150" s="761"/>
      <c r="F150" s="762"/>
      <c r="G150" s="237">
        <f>G80</f>
        <v>2024</v>
      </c>
      <c r="H150" s="237">
        <f>H80</f>
        <v>2025</v>
      </c>
      <c r="I150" s="237" t="str">
        <f>I80</f>
        <v>janv.-mars 2025</v>
      </c>
      <c r="J150" s="237" t="str">
        <f>J80</f>
        <v>janv.-mars 2026</v>
      </c>
      <c r="K150" s="225"/>
      <c r="L150" s="226"/>
      <c r="M150" s="10"/>
    </row>
    <row r="151" spans="1:19" ht="14.1" customHeight="1" x14ac:dyDescent="0.25">
      <c r="B151" s="789" t="str">
        <f>B98</f>
        <v>tonnes</v>
      </c>
      <c r="C151" s="790"/>
      <c r="D151" s="790"/>
      <c r="E151" s="790"/>
      <c r="F151" s="791"/>
      <c r="G151" s="187" t="str">
        <f>IF(SUM(E98:G98,E103:G103,E108:G108,E113:G113,E118:G118,E123:G123,E128:G128,E133:G133,E138:G138,E143:G143)&gt;H26,Variables!$D$67,Variables!$D$68)</f>
        <v>Correct</v>
      </c>
      <c r="H151" s="187" t="str">
        <f>IF(SUM(H98:K98,H103:K103,H108:K108,H113:K113,H118:K118,H123:K123,H128:K128,H133:K133,H138:K138,H143:K143)&gt;I26,Variables!$D$67,Variables!$D$68)</f>
        <v>Correct</v>
      </c>
      <c r="I151" s="187" t="str">
        <f>IF(SUM(H98,H103,H108,H113,H118,H123,H128,H133,H138,H143)&gt;J26,Variables!$D$67,Variables!$D$68)</f>
        <v>Correct</v>
      </c>
      <c r="J151" s="187" t="str">
        <f>IF(SUM(L98,L103,L108,L113,L118,L123,L128,L133,L138,L143)&gt;K26,Variables!$D$67,Variables!$D$68)</f>
        <v>Correct</v>
      </c>
      <c r="K151" s="225"/>
      <c r="L151" s="226"/>
      <c r="M151" s="10"/>
    </row>
    <row r="152" spans="1:19" ht="14.1" customHeight="1" x14ac:dyDescent="0.25">
      <c r="B152" s="763" t="str">
        <f>IF(Intro!$G$20="English",O152,P152)</f>
        <v>volume - total des importations des produits de référence (Question 3)</v>
      </c>
      <c r="C152" s="764"/>
      <c r="D152" s="764"/>
      <c r="E152" s="764"/>
      <c r="F152" s="765"/>
      <c r="G152" s="187">
        <f>SUM(E98:G98,E103:G103,E108:G108,E113:G113,E118:G118,E123:G123,E128:G128,E133:G133,E138:G138,E143:G143)</f>
        <v>0</v>
      </c>
      <c r="H152" s="187">
        <f>SUM(H98:K98,H103:K103,H108:K108,H113:K113,H118:K118,H123:K123,H128:K128,H133:K133,H138:K138,H143:K143)</f>
        <v>0</v>
      </c>
      <c r="I152" s="187">
        <f>SUM(H98,H103,H108,H113,H118,H123,H128,H133,H138,H143)</f>
        <v>0</v>
      </c>
      <c r="J152" s="187">
        <f>SUM(L98,L103,L108,L113,L118,L123,L128,L133,L138,L143)</f>
        <v>0</v>
      </c>
      <c r="K152" s="225"/>
      <c r="L152" s="226"/>
      <c r="M152" s="10"/>
      <c r="O152" s="10" t="s">
        <v>431</v>
      </c>
      <c r="P152" s="10" t="s">
        <v>432</v>
      </c>
    </row>
    <row r="153" spans="1:19" ht="14.1" customHeight="1" x14ac:dyDescent="0.25">
      <c r="B153" s="763" t="str">
        <f>IF(Intro!$G$20="English",O153,P153)</f>
        <v>volume - total des importations (Question 1)</v>
      </c>
      <c r="C153" s="764"/>
      <c r="D153" s="764"/>
      <c r="E153" s="764"/>
      <c r="F153" s="765"/>
      <c r="G153" s="187">
        <f>H26</f>
        <v>0</v>
      </c>
      <c r="H153" s="187">
        <f>I26</f>
        <v>0</v>
      </c>
      <c r="I153" s="187">
        <f>J26</f>
        <v>0</v>
      </c>
      <c r="J153" s="187">
        <f>K26</f>
        <v>0</v>
      </c>
      <c r="K153" s="225"/>
      <c r="L153" s="226"/>
      <c r="M153" s="10"/>
      <c r="O153" s="10" t="s">
        <v>433</v>
      </c>
      <c r="P153" s="10" t="s">
        <v>434</v>
      </c>
    </row>
    <row r="154" spans="1:19" x14ac:dyDescent="0.25">
      <c r="B154" s="760" t="str">
        <f>Variables!D70</f>
        <v>Vérification - valeur</v>
      </c>
      <c r="C154" s="761"/>
      <c r="D154" s="761"/>
      <c r="E154" s="761"/>
      <c r="F154" s="762"/>
      <c r="G154" s="237">
        <f>G150</f>
        <v>2024</v>
      </c>
      <c r="H154" s="237">
        <f>H150</f>
        <v>2025</v>
      </c>
      <c r="I154" s="237" t="str">
        <f>I150</f>
        <v>janv.-mars 2025</v>
      </c>
      <c r="J154" s="237" t="str">
        <f>J150</f>
        <v>janv.-mars 2026</v>
      </c>
      <c r="K154" s="225"/>
      <c r="L154" s="226"/>
      <c r="M154" s="10"/>
    </row>
    <row r="155" spans="1:19" ht="14.1" customHeight="1" x14ac:dyDescent="0.25">
      <c r="B155" s="789" t="str">
        <f>B99</f>
        <v>valeur d'achat nette rendue (CAD)</v>
      </c>
      <c r="C155" s="790"/>
      <c r="D155" s="790"/>
      <c r="E155" s="790"/>
      <c r="F155" s="791"/>
      <c r="G155" s="187" t="str">
        <f>IF(SUM(E99:G99,E104:G104,E109:G109,E114:G114,E119:G119,E124:G124,E129:G129,E134:G134,E139:G139,E144:G144)&gt;H27,Variables!$D$67,Variables!$D$68)</f>
        <v>Correct</v>
      </c>
      <c r="H155" s="187" t="str">
        <f>IF(SUM(H99:K99,H104:K104,H109:K109,H114:K114,H119:K119,H124:K124,H129:K129,H134:K134,H139:K139,H144:K144)&gt;I27,Variables!$D$67,Variables!$D$68)</f>
        <v>Correct</v>
      </c>
      <c r="I155" s="187" t="str">
        <f>IF(SUM(H99,H104,H109,H114,H119,H124,H129,H134,H139,H144)&gt;J27,Variables!$D$67,Variables!$D$68)</f>
        <v>Correct</v>
      </c>
      <c r="J155" s="187" t="str">
        <f>IF(SUM(L99,L104,L109,L114,L119,L124,L129,L134,L139,L144)&gt;K27,Variables!$D$67,Variables!$D$68)</f>
        <v>Correct</v>
      </c>
      <c r="K155" s="225"/>
      <c r="L155" s="226"/>
      <c r="M155" s="10"/>
    </row>
    <row r="156" spans="1:19" ht="14.1" customHeight="1" x14ac:dyDescent="0.25">
      <c r="B156" s="763" t="str">
        <f>IF(Intro!$G$20="English",O156,P156)</f>
        <v>valeur - total des importations des produits de référence (Question 3)</v>
      </c>
      <c r="C156" s="764"/>
      <c r="D156" s="764"/>
      <c r="E156" s="764"/>
      <c r="F156" s="765"/>
      <c r="G156" s="187">
        <f>SUM(E99:G99,E104:G104,E109:G109,E114:G114,E119:G119,E124:G124,E129:G129,E134:G134,E139:G139,E144:G144)</f>
        <v>0</v>
      </c>
      <c r="H156" s="187">
        <f>SUM(H99:K99,H104:K104,H109:K109,H114:K114,H119:K119,H124:K124,H129:K129,H134:K134,H139:K139,H144:K144)</f>
        <v>0</v>
      </c>
      <c r="I156" s="187">
        <f>SUM(H99,H104,H109,H114,H119,H124,H129,H134,H139,H144)</f>
        <v>0</v>
      </c>
      <c r="J156" s="187">
        <f>SUM(L99,L104,L109,L114,L119,L124,L129,L134,L139,L144)</f>
        <v>0</v>
      </c>
      <c r="K156" s="225"/>
      <c r="L156" s="226"/>
      <c r="M156" s="10"/>
      <c r="O156" s="10" t="s">
        <v>435</v>
      </c>
      <c r="P156" s="10" t="s">
        <v>436</v>
      </c>
    </row>
    <row r="157" spans="1:19" ht="14.1" customHeight="1" x14ac:dyDescent="0.25">
      <c r="B157" s="763" t="str">
        <f>IF(Intro!$G$20="English",O157,P157)</f>
        <v>valeur - total des importations (Question 1)</v>
      </c>
      <c r="C157" s="764"/>
      <c r="D157" s="764"/>
      <c r="E157" s="764"/>
      <c r="F157" s="765"/>
      <c r="G157" s="187">
        <f>H27</f>
        <v>0</v>
      </c>
      <c r="H157" s="187">
        <f>I27</f>
        <v>0</v>
      </c>
      <c r="I157" s="187">
        <f>J27</f>
        <v>0</v>
      </c>
      <c r="J157" s="187">
        <f>K27</f>
        <v>0</v>
      </c>
      <c r="K157" s="225"/>
      <c r="L157" s="226"/>
      <c r="M157" s="10"/>
      <c r="O157" s="10" t="s">
        <v>437</v>
      </c>
      <c r="P157" s="10" t="s">
        <v>438</v>
      </c>
    </row>
    <row r="158" spans="1:19" x14ac:dyDescent="0.25">
      <c r="B158" s="72"/>
      <c r="C158" s="82"/>
      <c r="D158" s="82"/>
      <c r="E158" s="82"/>
      <c r="F158" s="82"/>
      <c r="G158" s="82"/>
      <c r="H158" s="82"/>
      <c r="I158" s="82"/>
      <c r="J158" s="82"/>
      <c r="K158" s="82"/>
      <c r="L158" s="83"/>
      <c r="M158" s="10"/>
    </row>
    <row r="159" spans="1:19" s="207" customFormat="1" x14ac:dyDescent="0.25">
      <c r="A159" s="7"/>
      <c r="B159" s="91"/>
      <c r="C159" s="91"/>
      <c r="D159" s="89"/>
      <c r="E159" s="236"/>
      <c r="F159" s="236"/>
      <c r="G159" s="236"/>
      <c r="H159" s="236"/>
      <c r="I159" s="236"/>
      <c r="J159" s="236"/>
      <c r="K159" s="236"/>
      <c r="L159" s="236"/>
      <c r="M159" s="73"/>
    </row>
    <row r="160" spans="1:19" x14ac:dyDescent="0.25">
      <c r="B160" s="533" t="str">
        <f>IF(Intro!$G$20="English",O160,P160)</f>
        <v>VENTES AU CANADA D'IMPORTATIONS DE PRODUITS DE RÉFÉRENCE</v>
      </c>
      <c r="C160" s="534"/>
      <c r="D160" s="534"/>
      <c r="E160" s="534"/>
      <c r="F160" s="534"/>
      <c r="G160" s="534"/>
      <c r="H160" s="534"/>
      <c r="I160" s="534"/>
      <c r="J160" s="534"/>
      <c r="K160" s="534"/>
      <c r="L160" s="535"/>
      <c r="M160" s="10"/>
      <c r="O160" s="105" t="s">
        <v>336</v>
      </c>
      <c r="P160" s="105" t="s">
        <v>400</v>
      </c>
    </row>
    <row r="161" spans="2:16" x14ac:dyDescent="0.25">
      <c r="B161" s="671" t="s">
        <v>17</v>
      </c>
      <c r="C161" s="672"/>
      <c r="D161" s="672"/>
      <c r="E161" s="672"/>
      <c r="F161" s="672"/>
      <c r="G161" s="672"/>
      <c r="H161" s="672"/>
      <c r="I161" s="672"/>
      <c r="J161" s="672"/>
      <c r="K161" s="672"/>
      <c r="L161" s="673"/>
      <c r="M161" s="10"/>
    </row>
    <row r="162" spans="2:16" x14ac:dyDescent="0.25">
      <c r="B162" s="16"/>
      <c r="C162" s="35"/>
      <c r="D162" s="35"/>
      <c r="E162" s="36"/>
      <c r="F162" s="36"/>
      <c r="G162" s="36"/>
      <c r="H162" s="36"/>
      <c r="I162" s="36"/>
      <c r="J162" s="36"/>
      <c r="K162" s="36"/>
      <c r="L162" s="17"/>
      <c r="M162" s="10"/>
    </row>
    <row r="163" spans="2:16" x14ac:dyDescent="0.25">
      <c r="B163" s="530" t="str">
        <f>IF(Intro!$G$20="English",O163,P163)</f>
        <v>Indiquez le volume et la valeur des ventes d'importations au Canada pour chaque produit de référence :</v>
      </c>
      <c r="C163" s="531"/>
      <c r="D163" s="531"/>
      <c r="E163" s="531"/>
      <c r="F163" s="531"/>
      <c r="G163" s="531"/>
      <c r="H163" s="531"/>
      <c r="I163" s="531"/>
      <c r="J163" s="531"/>
      <c r="K163" s="531"/>
      <c r="L163" s="532"/>
      <c r="M163" s="10"/>
      <c r="O163" s="18" t="s">
        <v>171</v>
      </c>
      <c r="P163" s="10" t="s">
        <v>399</v>
      </c>
    </row>
    <row r="164" spans="2:16" x14ac:dyDescent="0.25">
      <c r="B164" s="530" t="str">
        <f>Pro!B22</f>
        <v>Note - Ne répondez à cette question que si votre entreprise a vendu les marchandises du 1er janvier 2023 au 31 mars 2026.</v>
      </c>
      <c r="C164" s="531"/>
      <c r="D164" s="531"/>
      <c r="E164" s="531"/>
      <c r="F164" s="531"/>
      <c r="G164" s="531"/>
      <c r="H164" s="531"/>
      <c r="I164" s="531"/>
      <c r="J164" s="531"/>
      <c r="K164" s="531"/>
      <c r="L164" s="532"/>
      <c r="M164" s="10"/>
      <c r="O164" s="18"/>
    </row>
    <row r="165" spans="2:16" x14ac:dyDescent="0.25">
      <c r="B165" s="233"/>
      <c r="C165" s="234"/>
      <c r="D165" s="35"/>
      <c r="E165" s="36"/>
      <c r="F165" s="36"/>
      <c r="G165" s="36"/>
      <c r="H165" s="36"/>
      <c r="I165" s="36"/>
      <c r="J165" s="36"/>
      <c r="K165" s="36"/>
      <c r="L165" s="17"/>
      <c r="M165" s="10"/>
      <c r="O165" s="18"/>
    </row>
    <row r="166" spans="2:16" x14ac:dyDescent="0.25">
      <c r="B166" s="772"/>
      <c r="C166" s="773"/>
      <c r="D166" s="774"/>
      <c r="E166" s="237" t="str">
        <f t="shared" ref="E166:L166" si="23">E95</f>
        <v>T2 - 2024</v>
      </c>
      <c r="F166" s="237" t="str">
        <f t="shared" si="23"/>
        <v>T3 - 2024</v>
      </c>
      <c r="G166" s="237" t="str">
        <f t="shared" si="23"/>
        <v>T4 - 2024</v>
      </c>
      <c r="H166" s="237" t="str">
        <f t="shared" si="23"/>
        <v>T1 - 2025</v>
      </c>
      <c r="I166" s="237" t="str">
        <f t="shared" si="23"/>
        <v>T2 - 2025</v>
      </c>
      <c r="J166" s="237" t="str">
        <f t="shared" si="23"/>
        <v>T3 - 2025</v>
      </c>
      <c r="K166" s="237" t="str">
        <f t="shared" si="23"/>
        <v>T4 - 2025</v>
      </c>
      <c r="L166" s="238" t="str">
        <f t="shared" si="23"/>
        <v>T1 - 2026</v>
      </c>
      <c r="M166" s="10"/>
      <c r="O166" s="18"/>
    </row>
    <row r="167" spans="2:16" x14ac:dyDescent="0.25">
      <c r="B167" s="768" t="str">
        <f>B96</f>
        <v xml:space="preserve">Tubage sans soudure L80 (y compris les améliorations) avec raccord API </v>
      </c>
      <c r="C167" s="641"/>
      <c r="D167" s="641"/>
      <c r="E167" s="641"/>
      <c r="F167" s="641"/>
      <c r="G167" s="641"/>
      <c r="H167" s="641"/>
      <c r="I167" s="641"/>
      <c r="J167" s="641"/>
      <c r="K167" s="641"/>
      <c r="L167" s="769"/>
      <c r="M167" s="10"/>
    </row>
    <row r="168" spans="2:16" x14ac:dyDescent="0.25">
      <c r="B168" s="770"/>
      <c r="C168" s="647"/>
      <c r="D168" s="647"/>
      <c r="E168" s="647"/>
      <c r="F168" s="647"/>
      <c r="G168" s="647"/>
      <c r="H168" s="647"/>
      <c r="I168" s="647"/>
      <c r="J168" s="647"/>
      <c r="K168" s="647"/>
      <c r="L168" s="771"/>
      <c r="M168" s="10"/>
    </row>
    <row r="169" spans="2:16" x14ac:dyDescent="0.25">
      <c r="B169" s="747" t="str">
        <f>D$31</f>
        <v>tonnes</v>
      </c>
      <c r="C169" s="748"/>
      <c r="D169" s="748"/>
      <c r="E169" s="137"/>
      <c r="F169" s="137"/>
      <c r="G169" s="137"/>
      <c r="H169" s="137"/>
      <c r="I169" s="137"/>
      <c r="J169" s="137"/>
      <c r="K169" s="137"/>
      <c r="L169" s="138"/>
      <c r="M169" s="10"/>
    </row>
    <row r="170" spans="2:16" x14ac:dyDescent="0.25">
      <c r="B170" s="747" t="str">
        <f>D$32</f>
        <v>valeur de vente nette rendue (CAD)</v>
      </c>
      <c r="C170" s="748"/>
      <c r="D170" s="748"/>
      <c r="E170" s="137"/>
      <c r="F170" s="137"/>
      <c r="G170" s="137"/>
      <c r="H170" s="137"/>
      <c r="I170" s="137"/>
      <c r="J170" s="137"/>
      <c r="K170" s="137"/>
      <c r="L170" s="138"/>
      <c r="M170" s="10"/>
    </row>
    <row r="171" spans="2:16" x14ac:dyDescent="0.25">
      <c r="B171" s="747" t="str">
        <f>D$33</f>
        <v>$ / tonne</v>
      </c>
      <c r="C171" s="748"/>
      <c r="D171" s="748"/>
      <c r="E171" s="151" t="str">
        <f t="shared" ref="E171:L171" si="24">IF(E169=0,"-",E170/E169)</f>
        <v>-</v>
      </c>
      <c r="F171" s="151" t="str">
        <f t="shared" si="24"/>
        <v>-</v>
      </c>
      <c r="G171" s="151" t="str">
        <f t="shared" si="24"/>
        <v>-</v>
      </c>
      <c r="H171" s="151" t="str">
        <f t="shared" si="24"/>
        <v>-</v>
      </c>
      <c r="I171" s="151" t="str">
        <f t="shared" si="24"/>
        <v>-</v>
      </c>
      <c r="J171" s="151" t="str">
        <f t="shared" si="24"/>
        <v>-</v>
      </c>
      <c r="K171" s="151" t="str">
        <f t="shared" si="24"/>
        <v>-</v>
      </c>
      <c r="L171" s="152" t="str">
        <f t="shared" si="24"/>
        <v>-</v>
      </c>
      <c r="M171" s="10"/>
    </row>
    <row r="172" spans="2:16" x14ac:dyDescent="0.25">
      <c r="B172" s="768" t="str">
        <f>B101</f>
        <v>Tubage soudé L80 (y compris les améliorations) avec raccord API</v>
      </c>
      <c r="C172" s="641"/>
      <c r="D172" s="641"/>
      <c r="E172" s="641"/>
      <c r="F172" s="641"/>
      <c r="G172" s="641"/>
      <c r="H172" s="641"/>
      <c r="I172" s="641"/>
      <c r="J172" s="641"/>
      <c r="K172" s="641"/>
      <c r="L172" s="769"/>
      <c r="M172" s="10"/>
    </row>
    <row r="173" spans="2:16" x14ac:dyDescent="0.25">
      <c r="B173" s="770"/>
      <c r="C173" s="647"/>
      <c r="D173" s="647"/>
      <c r="E173" s="647"/>
      <c r="F173" s="647"/>
      <c r="G173" s="647"/>
      <c r="H173" s="647"/>
      <c r="I173" s="647"/>
      <c r="J173" s="647"/>
      <c r="K173" s="647"/>
      <c r="L173" s="771"/>
      <c r="M173" s="10"/>
    </row>
    <row r="174" spans="2:16" x14ac:dyDescent="0.25">
      <c r="B174" s="747" t="str">
        <f>D$31</f>
        <v>tonnes</v>
      </c>
      <c r="C174" s="748"/>
      <c r="D174" s="748"/>
      <c r="E174" s="137"/>
      <c r="F174" s="137"/>
      <c r="G174" s="137"/>
      <c r="H174" s="137"/>
      <c r="I174" s="137"/>
      <c r="J174" s="137"/>
      <c r="K174" s="137"/>
      <c r="L174" s="138"/>
      <c r="M174" s="10"/>
    </row>
    <row r="175" spans="2:16" x14ac:dyDescent="0.25">
      <c r="B175" s="747" t="str">
        <f>D$32</f>
        <v>valeur de vente nette rendue (CAD)</v>
      </c>
      <c r="C175" s="748"/>
      <c r="D175" s="748"/>
      <c r="E175" s="137"/>
      <c r="F175" s="137"/>
      <c r="G175" s="137"/>
      <c r="H175" s="137"/>
      <c r="I175" s="137"/>
      <c r="J175" s="137"/>
      <c r="K175" s="137"/>
      <c r="L175" s="138"/>
      <c r="M175" s="10"/>
    </row>
    <row r="176" spans="2:16" x14ac:dyDescent="0.25">
      <c r="B176" s="747" t="str">
        <f>D$33</f>
        <v>$ / tonne</v>
      </c>
      <c r="C176" s="748"/>
      <c r="D176" s="748"/>
      <c r="E176" s="151" t="str">
        <f>IF(E174=0,"-",E175/E174)</f>
        <v>-</v>
      </c>
      <c r="F176" s="151" t="str">
        <f t="shared" ref="F176:L176" si="25">IF(F174=0,"-",F175/F174)</f>
        <v>-</v>
      </c>
      <c r="G176" s="151" t="str">
        <f t="shared" si="25"/>
        <v>-</v>
      </c>
      <c r="H176" s="151" t="str">
        <f t="shared" si="25"/>
        <v>-</v>
      </c>
      <c r="I176" s="151" t="str">
        <f t="shared" si="25"/>
        <v>-</v>
      </c>
      <c r="J176" s="151" t="str">
        <f t="shared" si="25"/>
        <v>-</v>
      </c>
      <c r="K176" s="151" t="str">
        <f t="shared" si="25"/>
        <v>-</v>
      </c>
      <c r="L176" s="152" t="str">
        <f t="shared" si="25"/>
        <v>-</v>
      </c>
      <c r="M176" s="10"/>
    </row>
    <row r="177" spans="2:13" x14ac:dyDescent="0.25">
      <c r="B177" s="768" t="str">
        <f>B106</f>
        <v xml:space="preserve">Tubage sans soudure L80 (y compris les améliorations) avec raccord de qualité semi-supérieure </v>
      </c>
      <c r="C177" s="641"/>
      <c r="D177" s="641"/>
      <c r="E177" s="641"/>
      <c r="F177" s="641"/>
      <c r="G177" s="641"/>
      <c r="H177" s="641"/>
      <c r="I177" s="641"/>
      <c r="J177" s="641"/>
      <c r="K177" s="641"/>
      <c r="L177" s="769"/>
      <c r="M177" s="10"/>
    </row>
    <row r="178" spans="2:13" x14ac:dyDescent="0.25">
      <c r="B178" s="770"/>
      <c r="C178" s="647"/>
      <c r="D178" s="647"/>
      <c r="E178" s="647"/>
      <c r="F178" s="647"/>
      <c r="G178" s="647"/>
      <c r="H178" s="647"/>
      <c r="I178" s="647"/>
      <c r="J178" s="647"/>
      <c r="K178" s="647"/>
      <c r="L178" s="771"/>
      <c r="M178" s="10"/>
    </row>
    <row r="179" spans="2:13" x14ac:dyDescent="0.25">
      <c r="B179" s="747" t="str">
        <f>D$31</f>
        <v>tonnes</v>
      </c>
      <c r="C179" s="748"/>
      <c r="D179" s="748"/>
      <c r="E179" s="137"/>
      <c r="F179" s="137"/>
      <c r="G179" s="137"/>
      <c r="H179" s="137"/>
      <c r="I179" s="137"/>
      <c r="J179" s="137"/>
      <c r="K179" s="137"/>
      <c r="L179" s="138"/>
      <c r="M179" s="10"/>
    </row>
    <row r="180" spans="2:13" x14ac:dyDescent="0.25">
      <c r="B180" s="747" t="str">
        <f>D$32</f>
        <v>valeur de vente nette rendue (CAD)</v>
      </c>
      <c r="C180" s="748"/>
      <c r="D180" s="748"/>
      <c r="E180" s="137"/>
      <c r="F180" s="137"/>
      <c r="G180" s="137"/>
      <c r="H180" s="137"/>
      <c r="I180" s="137"/>
      <c r="J180" s="137"/>
      <c r="K180" s="137"/>
      <c r="L180" s="138"/>
      <c r="M180" s="10"/>
    </row>
    <row r="181" spans="2:13" x14ac:dyDescent="0.25">
      <c r="B181" s="747" t="str">
        <f>D$33</f>
        <v>$ / tonne</v>
      </c>
      <c r="C181" s="748"/>
      <c r="D181" s="748"/>
      <c r="E181" s="151" t="str">
        <f>IF(E179=0,"-",E180/E179)</f>
        <v>-</v>
      </c>
      <c r="F181" s="151" t="str">
        <f t="shared" ref="F181:L181" si="26">IF(F179=0,"-",F180/F179)</f>
        <v>-</v>
      </c>
      <c r="G181" s="151" t="str">
        <f t="shared" si="26"/>
        <v>-</v>
      </c>
      <c r="H181" s="151" t="str">
        <f t="shared" si="26"/>
        <v>-</v>
      </c>
      <c r="I181" s="151" t="str">
        <f t="shared" si="26"/>
        <v>-</v>
      </c>
      <c r="J181" s="151" t="str">
        <f t="shared" si="26"/>
        <v>-</v>
      </c>
      <c r="K181" s="151" t="str">
        <f t="shared" si="26"/>
        <v>-</v>
      </c>
      <c r="L181" s="152" t="str">
        <f t="shared" si="26"/>
        <v>-</v>
      </c>
      <c r="M181" s="10"/>
    </row>
    <row r="182" spans="2:13" x14ac:dyDescent="0.25">
      <c r="B182" s="768" t="str">
        <f>B111</f>
        <v xml:space="preserve">Tubage soudé L80 (y compris les améliorations) avec raccord de qualité semi-supérieure </v>
      </c>
      <c r="C182" s="641"/>
      <c r="D182" s="641"/>
      <c r="E182" s="641"/>
      <c r="F182" s="641"/>
      <c r="G182" s="641"/>
      <c r="H182" s="641"/>
      <c r="I182" s="641"/>
      <c r="J182" s="641"/>
      <c r="K182" s="641"/>
      <c r="L182" s="769"/>
      <c r="M182" s="10"/>
    </row>
    <row r="183" spans="2:13" x14ac:dyDescent="0.25">
      <c r="B183" s="770"/>
      <c r="C183" s="647"/>
      <c r="D183" s="647"/>
      <c r="E183" s="647"/>
      <c r="F183" s="647"/>
      <c r="G183" s="647"/>
      <c r="H183" s="647"/>
      <c r="I183" s="647"/>
      <c r="J183" s="647"/>
      <c r="K183" s="647"/>
      <c r="L183" s="771"/>
      <c r="M183" s="10"/>
    </row>
    <row r="184" spans="2:13" x14ac:dyDescent="0.25">
      <c r="B184" s="747" t="str">
        <f>D$31</f>
        <v>tonnes</v>
      </c>
      <c r="C184" s="748"/>
      <c r="D184" s="748"/>
      <c r="E184" s="137"/>
      <c r="F184" s="137"/>
      <c r="G184" s="137"/>
      <c r="H184" s="137"/>
      <c r="I184" s="137"/>
      <c r="J184" s="137"/>
      <c r="K184" s="137"/>
      <c r="L184" s="138"/>
      <c r="M184" s="10"/>
    </row>
    <row r="185" spans="2:13" x14ac:dyDescent="0.25">
      <c r="B185" s="747" t="str">
        <f>D$32</f>
        <v>valeur de vente nette rendue (CAD)</v>
      </c>
      <c r="C185" s="748"/>
      <c r="D185" s="748"/>
      <c r="E185" s="137"/>
      <c r="F185" s="137"/>
      <c r="G185" s="137"/>
      <c r="H185" s="137"/>
      <c r="I185" s="137"/>
      <c r="J185" s="137"/>
      <c r="K185" s="137"/>
      <c r="L185" s="138"/>
      <c r="M185" s="10"/>
    </row>
    <row r="186" spans="2:13" x14ac:dyDescent="0.25">
      <c r="B186" s="747" t="str">
        <f>D$33</f>
        <v>$ / tonne</v>
      </c>
      <c r="C186" s="748"/>
      <c r="D186" s="748"/>
      <c r="E186" s="151" t="str">
        <f>IF(E184=0,"-",E185/E184)</f>
        <v>-</v>
      </c>
      <c r="F186" s="151" t="str">
        <f t="shared" ref="F186:L186" si="27">IF(F184=0,"-",F185/F184)</f>
        <v>-</v>
      </c>
      <c r="G186" s="151" t="str">
        <f t="shared" si="27"/>
        <v>-</v>
      </c>
      <c r="H186" s="151" t="str">
        <f t="shared" si="27"/>
        <v>-</v>
      </c>
      <c r="I186" s="151" t="str">
        <f t="shared" si="27"/>
        <v>-</v>
      </c>
      <c r="J186" s="151" t="str">
        <f t="shared" si="27"/>
        <v>-</v>
      </c>
      <c r="K186" s="151" t="str">
        <f t="shared" si="27"/>
        <v>-</v>
      </c>
      <c r="L186" s="152" t="str">
        <f t="shared" si="27"/>
        <v>-</v>
      </c>
      <c r="M186" s="10"/>
    </row>
    <row r="187" spans="2:13" x14ac:dyDescent="0.25">
      <c r="B187" s="768" t="str">
        <f>B116</f>
        <v xml:space="preserve">Tubage sans soudure P110 (y compris les améliorations) avec raccord API </v>
      </c>
      <c r="C187" s="641"/>
      <c r="D187" s="641"/>
      <c r="E187" s="641"/>
      <c r="F187" s="641"/>
      <c r="G187" s="641"/>
      <c r="H187" s="641"/>
      <c r="I187" s="641"/>
      <c r="J187" s="641"/>
      <c r="K187" s="641"/>
      <c r="L187" s="769"/>
      <c r="M187" s="10"/>
    </row>
    <row r="188" spans="2:13" x14ac:dyDescent="0.25">
      <c r="B188" s="770"/>
      <c r="C188" s="647"/>
      <c r="D188" s="647"/>
      <c r="E188" s="647"/>
      <c r="F188" s="647"/>
      <c r="G188" s="647"/>
      <c r="H188" s="647"/>
      <c r="I188" s="647"/>
      <c r="J188" s="647"/>
      <c r="K188" s="647"/>
      <c r="L188" s="771"/>
      <c r="M188" s="10"/>
    </row>
    <row r="189" spans="2:13" x14ac:dyDescent="0.25">
      <c r="B189" s="747" t="str">
        <f>D$31</f>
        <v>tonnes</v>
      </c>
      <c r="C189" s="748"/>
      <c r="D189" s="748"/>
      <c r="E189" s="137"/>
      <c r="F189" s="137"/>
      <c r="G189" s="137"/>
      <c r="H189" s="137"/>
      <c r="I189" s="137"/>
      <c r="J189" s="137"/>
      <c r="K189" s="137"/>
      <c r="L189" s="138"/>
      <c r="M189" s="10"/>
    </row>
    <row r="190" spans="2:13" x14ac:dyDescent="0.25">
      <c r="B190" s="747" t="str">
        <f>D$32</f>
        <v>valeur de vente nette rendue (CAD)</v>
      </c>
      <c r="C190" s="748"/>
      <c r="D190" s="748"/>
      <c r="E190" s="137"/>
      <c r="F190" s="137"/>
      <c r="G190" s="137"/>
      <c r="H190" s="137"/>
      <c r="I190" s="137"/>
      <c r="J190" s="137"/>
      <c r="K190" s="137"/>
      <c r="L190" s="138"/>
      <c r="M190" s="10"/>
    </row>
    <row r="191" spans="2:13" x14ac:dyDescent="0.25">
      <c r="B191" s="747" t="str">
        <f>D$33</f>
        <v>$ / tonne</v>
      </c>
      <c r="C191" s="748"/>
      <c r="D191" s="748"/>
      <c r="E191" s="151" t="str">
        <f>IF(E189=0,"-",E190/E189)</f>
        <v>-</v>
      </c>
      <c r="F191" s="151" t="str">
        <f t="shared" ref="F191:L191" si="28">IF(F189=0,"-",F190/F189)</f>
        <v>-</v>
      </c>
      <c r="G191" s="151" t="str">
        <f t="shared" si="28"/>
        <v>-</v>
      </c>
      <c r="H191" s="151" t="str">
        <f t="shared" si="28"/>
        <v>-</v>
      </c>
      <c r="I191" s="151" t="str">
        <f t="shared" si="28"/>
        <v>-</v>
      </c>
      <c r="J191" s="151" t="str">
        <f t="shared" si="28"/>
        <v>-</v>
      </c>
      <c r="K191" s="151" t="str">
        <f t="shared" si="28"/>
        <v>-</v>
      </c>
      <c r="L191" s="152" t="str">
        <f t="shared" si="28"/>
        <v>-</v>
      </c>
      <c r="M191" s="10"/>
    </row>
    <row r="192" spans="2:13" x14ac:dyDescent="0.25">
      <c r="B192" s="768" t="str">
        <f>B121</f>
        <v xml:space="preserve">Tubage soudé P110 (y compris les améliorations) avec raccord API </v>
      </c>
      <c r="C192" s="641"/>
      <c r="D192" s="641"/>
      <c r="E192" s="641"/>
      <c r="F192" s="641"/>
      <c r="G192" s="641"/>
      <c r="H192" s="641"/>
      <c r="I192" s="641"/>
      <c r="J192" s="641"/>
      <c r="K192" s="641"/>
      <c r="L192" s="769"/>
      <c r="M192" s="10"/>
    </row>
    <row r="193" spans="2:13" x14ac:dyDescent="0.25">
      <c r="B193" s="770"/>
      <c r="C193" s="647"/>
      <c r="D193" s="647"/>
      <c r="E193" s="647"/>
      <c r="F193" s="647"/>
      <c r="G193" s="647"/>
      <c r="H193" s="647"/>
      <c r="I193" s="647"/>
      <c r="J193" s="647"/>
      <c r="K193" s="647"/>
      <c r="L193" s="771"/>
      <c r="M193" s="10"/>
    </row>
    <row r="194" spans="2:13" x14ac:dyDescent="0.25">
      <c r="B194" s="747" t="str">
        <f>D$31</f>
        <v>tonnes</v>
      </c>
      <c r="C194" s="748"/>
      <c r="D194" s="748"/>
      <c r="E194" s="137"/>
      <c r="F194" s="137"/>
      <c r="G194" s="137"/>
      <c r="H194" s="137"/>
      <c r="I194" s="137"/>
      <c r="J194" s="137"/>
      <c r="K194" s="137"/>
      <c r="L194" s="138"/>
      <c r="M194" s="10"/>
    </row>
    <row r="195" spans="2:13" x14ac:dyDescent="0.25">
      <c r="B195" s="747" t="str">
        <f>D$32</f>
        <v>valeur de vente nette rendue (CAD)</v>
      </c>
      <c r="C195" s="748"/>
      <c r="D195" s="748"/>
      <c r="E195" s="137"/>
      <c r="F195" s="137"/>
      <c r="G195" s="137"/>
      <c r="H195" s="137"/>
      <c r="I195" s="137"/>
      <c r="J195" s="137"/>
      <c r="K195" s="137"/>
      <c r="L195" s="138"/>
      <c r="M195" s="10"/>
    </row>
    <row r="196" spans="2:13" x14ac:dyDescent="0.25">
      <c r="B196" s="747" t="str">
        <f>D$33</f>
        <v>$ / tonne</v>
      </c>
      <c r="C196" s="748"/>
      <c r="D196" s="748"/>
      <c r="E196" s="151" t="str">
        <f>IF(E194=0,"-",E195/E194)</f>
        <v>-</v>
      </c>
      <c r="F196" s="151" t="str">
        <f t="shared" ref="F196:L196" si="29">IF(F194=0,"-",F195/F194)</f>
        <v>-</v>
      </c>
      <c r="G196" s="151" t="str">
        <f t="shared" si="29"/>
        <v>-</v>
      </c>
      <c r="H196" s="151" t="str">
        <f t="shared" si="29"/>
        <v>-</v>
      </c>
      <c r="I196" s="151" t="str">
        <f t="shared" si="29"/>
        <v>-</v>
      </c>
      <c r="J196" s="151" t="str">
        <f t="shared" si="29"/>
        <v>-</v>
      </c>
      <c r="K196" s="151" t="str">
        <f t="shared" si="29"/>
        <v>-</v>
      </c>
      <c r="L196" s="152" t="str">
        <f t="shared" si="29"/>
        <v>-</v>
      </c>
      <c r="M196" s="10"/>
    </row>
    <row r="197" spans="2:13" x14ac:dyDescent="0.25">
      <c r="B197" s="768" t="str">
        <f>B126</f>
        <v>Tubage sans soudure P110 (y compris les améliorations) avec raccord de qualité semi-supérieure</v>
      </c>
      <c r="C197" s="641"/>
      <c r="D197" s="641"/>
      <c r="E197" s="641"/>
      <c r="F197" s="641"/>
      <c r="G197" s="641"/>
      <c r="H197" s="641"/>
      <c r="I197" s="641"/>
      <c r="J197" s="641"/>
      <c r="K197" s="641"/>
      <c r="L197" s="769"/>
      <c r="M197" s="10"/>
    </row>
    <row r="198" spans="2:13" x14ac:dyDescent="0.25">
      <c r="B198" s="770"/>
      <c r="C198" s="647"/>
      <c r="D198" s="647"/>
      <c r="E198" s="647"/>
      <c r="F198" s="647"/>
      <c r="G198" s="647"/>
      <c r="H198" s="647"/>
      <c r="I198" s="647"/>
      <c r="J198" s="647"/>
      <c r="K198" s="647"/>
      <c r="L198" s="771"/>
      <c r="M198" s="10"/>
    </row>
    <row r="199" spans="2:13" x14ac:dyDescent="0.25">
      <c r="B199" s="747" t="str">
        <f>D$31</f>
        <v>tonnes</v>
      </c>
      <c r="C199" s="748"/>
      <c r="D199" s="748"/>
      <c r="E199" s="137"/>
      <c r="F199" s="137"/>
      <c r="G199" s="137"/>
      <c r="H199" s="137"/>
      <c r="I199" s="137"/>
      <c r="J199" s="137"/>
      <c r="K199" s="137"/>
      <c r="L199" s="138"/>
      <c r="M199" s="10"/>
    </row>
    <row r="200" spans="2:13" x14ac:dyDescent="0.25">
      <c r="B200" s="747" t="str">
        <f>D$32</f>
        <v>valeur de vente nette rendue (CAD)</v>
      </c>
      <c r="C200" s="748"/>
      <c r="D200" s="748"/>
      <c r="E200" s="137"/>
      <c r="F200" s="137"/>
      <c r="G200" s="137"/>
      <c r="H200" s="137"/>
      <c r="I200" s="137"/>
      <c r="J200" s="137"/>
      <c r="K200" s="137"/>
      <c r="L200" s="138"/>
      <c r="M200" s="10"/>
    </row>
    <row r="201" spans="2:13" x14ac:dyDescent="0.25">
      <c r="B201" s="747" t="str">
        <f>D$33</f>
        <v>$ / tonne</v>
      </c>
      <c r="C201" s="748"/>
      <c r="D201" s="748"/>
      <c r="E201" s="151" t="str">
        <f>IF(E199=0,"-",E200/E199)</f>
        <v>-</v>
      </c>
      <c r="F201" s="151" t="str">
        <f t="shared" ref="F201:L201" si="30">IF(F199=0,"-",F200/F199)</f>
        <v>-</v>
      </c>
      <c r="G201" s="151" t="str">
        <f t="shared" si="30"/>
        <v>-</v>
      </c>
      <c r="H201" s="151" t="str">
        <f t="shared" si="30"/>
        <v>-</v>
      </c>
      <c r="I201" s="151" t="str">
        <f t="shared" si="30"/>
        <v>-</v>
      </c>
      <c r="J201" s="151" t="str">
        <f t="shared" si="30"/>
        <v>-</v>
      </c>
      <c r="K201" s="151" t="str">
        <f t="shared" si="30"/>
        <v>-</v>
      </c>
      <c r="L201" s="152" t="str">
        <f t="shared" si="30"/>
        <v>-</v>
      </c>
      <c r="M201" s="10"/>
    </row>
    <row r="202" spans="2:13" x14ac:dyDescent="0.25">
      <c r="B202" s="768" t="str">
        <f>B131</f>
        <v>Tubage soudé P110 (y compris les améliorations) avec raccord de qualité semi-supérieure</v>
      </c>
      <c r="C202" s="641"/>
      <c r="D202" s="641"/>
      <c r="E202" s="641"/>
      <c r="F202" s="641"/>
      <c r="G202" s="641"/>
      <c r="H202" s="641"/>
      <c r="I202" s="641"/>
      <c r="J202" s="641"/>
      <c r="K202" s="641"/>
      <c r="L202" s="769"/>
      <c r="M202" s="10"/>
    </row>
    <row r="203" spans="2:13" x14ac:dyDescent="0.25">
      <c r="B203" s="770"/>
      <c r="C203" s="647"/>
      <c r="D203" s="647"/>
      <c r="E203" s="647"/>
      <c r="F203" s="647"/>
      <c r="G203" s="647"/>
      <c r="H203" s="647"/>
      <c r="I203" s="647"/>
      <c r="J203" s="647"/>
      <c r="K203" s="647"/>
      <c r="L203" s="771"/>
      <c r="M203" s="10"/>
    </row>
    <row r="204" spans="2:13" x14ac:dyDescent="0.25">
      <c r="B204" s="747" t="str">
        <f>D$31</f>
        <v>tonnes</v>
      </c>
      <c r="C204" s="748"/>
      <c r="D204" s="748"/>
      <c r="E204" s="137"/>
      <c r="F204" s="137"/>
      <c r="G204" s="137"/>
      <c r="H204" s="137"/>
      <c r="I204" s="137"/>
      <c r="J204" s="137"/>
      <c r="K204" s="137"/>
      <c r="L204" s="138"/>
      <c r="M204" s="10"/>
    </row>
    <row r="205" spans="2:13" x14ac:dyDescent="0.25">
      <c r="B205" s="747" t="str">
        <f>D$32</f>
        <v>valeur de vente nette rendue (CAD)</v>
      </c>
      <c r="C205" s="748"/>
      <c r="D205" s="748"/>
      <c r="E205" s="137"/>
      <c r="F205" s="137"/>
      <c r="G205" s="137"/>
      <c r="H205" s="137"/>
      <c r="I205" s="137"/>
      <c r="J205" s="137"/>
      <c r="K205" s="137"/>
      <c r="L205" s="138"/>
      <c r="M205" s="10"/>
    </row>
    <row r="206" spans="2:13" x14ac:dyDescent="0.25">
      <c r="B206" s="747" t="str">
        <f>D$33</f>
        <v>$ / tonne</v>
      </c>
      <c r="C206" s="748"/>
      <c r="D206" s="748"/>
      <c r="E206" s="151" t="str">
        <f>IF(E204=0,"-",E205/E204)</f>
        <v>-</v>
      </c>
      <c r="F206" s="151" t="str">
        <f t="shared" ref="F206:L206" si="31">IF(F204=0,"-",F205/F204)</f>
        <v>-</v>
      </c>
      <c r="G206" s="151" t="str">
        <f t="shared" si="31"/>
        <v>-</v>
      </c>
      <c r="H206" s="151" t="str">
        <f t="shared" si="31"/>
        <v>-</v>
      </c>
      <c r="I206" s="151" t="str">
        <f t="shared" si="31"/>
        <v>-</v>
      </c>
      <c r="J206" s="151" t="str">
        <f t="shared" si="31"/>
        <v>-</v>
      </c>
      <c r="K206" s="151" t="str">
        <f t="shared" si="31"/>
        <v>-</v>
      </c>
      <c r="L206" s="152" t="str">
        <f t="shared" si="31"/>
        <v>-</v>
      </c>
      <c r="M206" s="10"/>
    </row>
    <row r="207" spans="2:13" x14ac:dyDescent="0.25">
      <c r="B207" s="768" t="str">
        <f>B136</f>
        <v>Tubage sans soudure T95 (y compris les améliorations) avec raccord semi-supérieure</v>
      </c>
      <c r="C207" s="641"/>
      <c r="D207" s="641"/>
      <c r="E207" s="641"/>
      <c r="F207" s="641"/>
      <c r="G207" s="641"/>
      <c r="H207" s="641"/>
      <c r="I207" s="641"/>
      <c r="J207" s="641"/>
      <c r="K207" s="641"/>
      <c r="L207" s="769"/>
      <c r="M207" s="10"/>
    </row>
    <row r="208" spans="2:13" x14ac:dyDescent="0.25">
      <c r="B208" s="770"/>
      <c r="C208" s="647"/>
      <c r="D208" s="647"/>
      <c r="E208" s="647"/>
      <c r="F208" s="647"/>
      <c r="G208" s="647"/>
      <c r="H208" s="647"/>
      <c r="I208" s="647"/>
      <c r="J208" s="647"/>
      <c r="K208" s="647"/>
      <c r="L208" s="771"/>
      <c r="M208" s="10"/>
    </row>
    <row r="209" spans="2:19" x14ac:dyDescent="0.25">
      <c r="B209" s="747" t="str">
        <f>D$31</f>
        <v>tonnes</v>
      </c>
      <c r="C209" s="748"/>
      <c r="D209" s="748"/>
      <c r="E209" s="137"/>
      <c r="F209" s="137"/>
      <c r="G209" s="137"/>
      <c r="H209" s="137"/>
      <c r="I209" s="137"/>
      <c r="J209" s="137"/>
      <c r="K209" s="137"/>
      <c r="L209" s="138"/>
      <c r="M209" s="10"/>
    </row>
    <row r="210" spans="2:19" x14ac:dyDescent="0.25">
      <c r="B210" s="747" t="str">
        <f>D$32</f>
        <v>valeur de vente nette rendue (CAD)</v>
      </c>
      <c r="C210" s="748"/>
      <c r="D210" s="748"/>
      <c r="E210" s="137"/>
      <c r="F210" s="137"/>
      <c r="G210" s="137"/>
      <c r="H210" s="137"/>
      <c r="I210" s="137"/>
      <c r="J210" s="137"/>
      <c r="K210" s="137"/>
      <c r="L210" s="138"/>
      <c r="M210" s="10"/>
    </row>
    <row r="211" spans="2:19" x14ac:dyDescent="0.25">
      <c r="B211" s="747" t="str">
        <f>D$33</f>
        <v>$ / tonne</v>
      </c>
      <c r="C211" s="748"/>
      <c r="D211" s="748"/>
      <c r="E211" s="151" t="str">
        <f>IF(E209=0,"-",E210/E209)</f>
        <v>-</v>
      </c>
      <c r="F211" s="151" t="str">
        <f t="shared" ref="F211:L211" si="32">IF(F209=0,"-",F210/F209)</f>
        <v>-</v>
      </c>
      <c r="G211" s="151" t="str">
        <f t="shared" si="32"/>
        <v>-</v>
      </c>
      <c r="H211" s="151" t="str">
        <f t="shared" si="32"/>
        <v>-</v>
      </c>
      <c r="I211" s="151" t="str">
        <f t="shared" si="32"/>
        <v>-</v>
      </c>
      <c r="J211" s="151" t="str">
        <f t="shared" si="32"/>
        <v>-</v>
      </c>
      <c r="K211" s="151" t="str">
        <f t="shared" si="32"/>
        <v>-</v>
      </c>
      <c r="L211" s="152" t="str">
        <f t="shared" si="32"/>
        <v>-</v>
      </c>
      <c r="M211" s="10"/>
    </row>
    <row r="212" spans="2:19" x14ac:dyDescent="0.25">
      <c r="B212" s="768" t="str">
        <f>B141</f>
        <v>Tubage sans soudure P110S (y compris les améliorations) ou nuance similaire pour milieux modérément acides avec raccord de qualité semi-supérieure</v>
      </c>
      <c r="C212" s="641"/>
      <c r="D212" s="641"/>
      <c r="E212" s="641"/>
      <c r="F212" s="641"/>
      <c r="G212" s="641"/>
      <c r="H212" s="641"/>
      <c r="I212" s="641"/>
      <c r="J212" s="641"/>
      <c r="K212" s="641"/>
      <c r="L212" s="769"/>
      <c r="M212" s="10"/>
    </row>
    <row r="213" spans="2:19" x14ac:dyDescent="0.25">
      <c r="B213" s="770"/>
      <c r="C213" s="647"/>
      <c r="D213" s="647"/>
      <c r="E213" s="647"/>
      <c r="F213" s="647"/>
      <c r="G213" s="647"/>
      <c r="H213" s="647"/>
      <c r="I213" s="647"/>
      <c r="J213" s="647"/>
      <c r="K213" s="647"/>
      <c r="L213" s="771"/>
      <c r="M213" s="10"/>
    </row>
    <row r="214" spans="2:19" x14ac:dyDescent="0.25">
      <c r="B214" s="747" t="str">
        <f>D$31</f>
        <v>tonnes</v>
      </c>
      <c r="C214" s="748"/>
      <c r="D214" s="748"/>
      <c r="E214" s="137"/>
      <c r="F214" s="137"/>
      <c r="G214" s="137"/>
      <c r="H214" s="137"/>
      <c r="I214" s="137"/>
      <c r="J214" s="137"/>
      <c r="K214" s="137"/>
      <c r="L214" s="138"/>
      <c r="M214" s="10"/>
    </row>
    <row r="215" spans="2:19" x14ac:dyDescent="0.25">
      <c r="B215" s="747" t="str">
        <f>D$32</f>
        <v>valeur de vente nette rendue (CAD)</v>
      </c>
      <c r="C215" s="748"/>
      <c r="D215" s="748"/>
      <c r="E215" s="137"/>
      <c r="F215" s="137"/>
      <c r="G215" s="137"/>
      <c r="H215" s="137"/>
      <c r="I215" s="137"/>
      <c r="J215" s="137"/>
      <c r="K215" s="137"/>
      <c r="L215" s="138"/>
      <c r="M215" s="10"/>
    </row>
    <row r="216" spans="2:19" x14ac:dyDescent="0.25">
      <c r="B216" s="747" t="str">
        <f>D$33</f>
        <v>$ / tonne</v>
      </c>
      <c r="C216" s="748"/>
      <c r="D216" s="748"/>
      <c r="E216" s="151" t="str">
        <f>IF(E214=0,"-",E215/E214)</f>
        <v>-</v>
      </c>
      <c r="F216" s="151" t="str">
        <f t="shared" ref="F216:L216" si="33">IF(F214=0,"-",F215/F214)</f>
        <v>-</v>
      </c>
      <c r="G216" s="151" t="str">
        <f t="shared" si="33"/>
        <v>-</v>
      </c>
      <c r="H216" s="151" t="str">
        <f t="shared" si="33"/>
        <v>-</v>
      </c>
      <c r="I216" s="151" t="str">
        <f t="shared" si="33"/>
        <v>-</v>
      </c>
      <c r="J216" s="151" t="str">
        <f t="shared" si="33"/>
        <v>-</v>
      </c>
      <c r="K216" s="151" t="str">
        <f t="shared" si="33"/>
        <v>-</v>
      </c>
      <c r="L216" s="152" t="str">
        <f t="shared" si="33"/>
        <v>-</v>
      </c>
      <c r="M216" s="10"/>
    </row>
    <row r="217" spans="2:19" x14ac:dyDescent="0.25">
      <c r="B217" s="260"/>
      <c r="C217" s="261"/>
      <c r="D217" s="261"/>
      <c r="E217" s="29"/>
      <c r="F217" s="29"/>
      <c r="G217" s="29"/>
      <c r="H217" s="29"/>
      <c r="I217" s="29"/>
      <c r="J217" s="29"/>
      <c r="K217" s="29"/>
      <c r="L217" s="30"/>
      <c r="M217" s="10"/>
    </row>
    <row r="218" spans="2:19" x14ac:dyDescent="0.25">
      <c r="B218" s="527" t="str">
        <f>IF(Intro!$G$20="English",O218,P218)</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18" s="528"/>
      <c r="D218" s="528"/>
      <c r="E218" s="528"/>
      <c r="F218" s="528"/>
      <c r="G218" s="528"/>
      <c r="H218" s="528"/>
      <c r="I218" s="528"/>
      <c r="J218" s="528"/>
      <c r="K218" s="528"/>
      <c r="L218" s="529"/>
      <c r="M218" s="10"/>
      <c r="O218" s="10" t="s">
        <v>363</v>
      </c>
      <c r="P218" s="10" t="s">
        <v>401</v>
      </c>
      <c r="S218" s="38"/>
    </row>
    <row r="219" spans="2:19" x14ac:dyDescent="0.25">
      <c r="B219" s="527"/>
      <c r="C219" s="528"/>
      <c r="D219" s="528"/>
      <c r="E219" s="528"/>
      <c r="F219" s="528"/>
      <c r="G219" s="528"/>
      <c r="H219" s="528"/>
      <c r="I219" s="528"/>
      <c r="J219" s="528"/>
      <c r="K219" s="528"/>
      <c r="L219" s="529"/>
      <c r="M219" s="10"/>
      <c r="S219" s="38"/>
    </row>
    <row r="220" spans="2:19" x14ac:dyDescent="0.25">
      <c r="B220" s="233"/>
      <c r="C220" s="234"/>
      <c r="D220" s="234"/>
      <c r="E220" s="29"/>
      <c r="F220" s="29"/>
      <c r="G220" s="29"/>
      <c r="H220" s="29"/>
      <c r="I220" s="29"/>
      <c r="J220" s="29"/>
      <c r="K220" s="29"/>
      <c r="L220" s="30"/>
      <c r="M220" s="10"/>
      <c r="S220" s="38"/>
    </row>
    <row r="221" spans="2:19" ht="14.1" customHeight="1" x14ac:dyDescent="0.25">
      <c r="B221" s="760" t="str">
        <f>Variables!D66</f>
        <v>Vérification - volume</v>
      </c>
      <c r="C221" s="761"/>
      <c r="D221" s="761"/>
      <c r="E221" s="761"/>
      <c r="F221" s="762"/>
      <c r="G221" s="237">
        <f>G150</f>
        <v>2024</v>
      </c>
      <c r="H221" s="237">
        <f>H150</f>
        <v>2025</v>
      </c>
      <c r="I221" s="237" t="str">
        <f>I150</f>
        <v>janv.-mars 2025</v>
      </c>
      <c r="J221" s="237" t="str">
        <f>J150</f>
        <v>janv.-mars 2026</v>
      </c>
      <c r="K221" s="225"/>
      <c r="L221" s="226"/>
      <c r="M221" s="10"/>
      <c r="O221" s="18"/>
    </row>
    <row r="222" spans="2:19" ht="14.1" customHeight="1" x14ac:dyDescent="0.25">
      <c r="B222" s="757" t="str">
        <f>B169</f>
        <v>tonnes</v>
      </c>
      <c r="C222" s="758"/>
      <c r="D222" s="758"/>
      <c r="E222" s="758"/>
      <c r="F222" s="759"/>
      <c r="G222" s="187" t="str">
        <f>IF(SUM(E169:G169,E174:G174,E179:G179,E184:G184,E189:G189,E194:G194,E199:G199,E204:G204,E209:G209,E214:G214)&gt;H44,Variables!$D$67,Variables!$D$68)</f>
        <v>Correct</v>
      </c>
      <c r="H222" s="187" t="str">
        <f>IF(SUM(H169:K169,H174:K174,H179:K179,H184:K184,H189:K189,H194:K194,H199:K199,H204:K204,H209:K209,H214:K214)&gt;I44,Variables!$D$67,Variables!$D$68)</f>
        <v>Correct</v>
      </c>
      <c r="I222" s="187" t="str">
        <f>IF(SUM(H169,H174,H179,H184,H189,H194,H199,H204,H209,H214)&gt;J44,Variables!$D$67,Variables!$D$68)</f>
        <v>Correct</v>
      </c>
      <c r="J222" s="187" t="str">
        <f>IF(SUM(L169,L174,L179,L184,L189,L194,L199,L204,L209,L214)&gt;K44,Variables!$D$67,Variables!$D$68)</f>
        <v>Correct</v>
      </c>
      <c r="K222" s="225"/>
      <c r="L222" s="226"/>
      <c r="M222" s="10"/>
    </row>
    <row r="223" spans="2:19" ht="27.75" customHeight="1" x14ac:dyDescent="0.25">
      <c r="B223" s="763" t="str">
        <f>IF(Intro!$G$20="English",O223,P223)</f>
        <v>volume - total des ventes au Canada d'importations des produits de référence (Question 4)</v>
      </c>
      <c r="C223" s="764"/>
      <c r="D223" s="764"/>
      <c r="E223" s="764"/>
      <c r="F223" s="765"/>
      <c r="G223" s="191">
        <f>(SUM(E169:G169,E174:G174,E179:G179,E184:G184,E189:G189,E194:G194,E199:G199,E204:G204,E209:G209,E214:G214))</f>
        <v>0</v>
      </c>
      <c r="H223" s="191">
        <f>SUM(H169:K169,H174:K174,H179:K179,H184:K184,H189:K189,H194:K194,H199:K199,H204:K204,H209:K209,H214:K214)</f>
        <v>0</v>
      </c>
      <c r="I223" s="191">
        <f>SUM(H169,H174,H179,H184,H189,H194,H199,H204,H209,H214)</f>
        <v>0</v>
      </c>
      <c r="J223" s="191">
        <f>SUM(L169,L174,L179,L184,L189,L194,L199,L204,L209,L214)</f>
        <v>0</v>
      </c>
      <c r="K223" s="225"/>
      <c r="L223" s="226"/>
      <c r="M223" s="10"/>
      <c r="O223" s="10" t="s">
        <v>447</v>
      </c>
      <c r="P223" s="10" t="s">
        <v>449</v>
      </c>
    </row>
    <row r="224" spans="2:19" ht="14.1" customHeight="1" x14ac:dyDescent="0.25">
      <c r="B224" s="763" t="str">
        <f>IF(Intro!$G$20="English",O224,P224)</f>
        <v>volume - total des ventes au Canada d'importations (Question 1)</v>
      </c>
      <c r="C224" s="764"/>
      <c r="D224" s="764"/>
      <c r="E224" s="764"/>
      <c r="F224" s="765"/>
      <c r="G224" s="187">
        <f>H44</f>
        <v>0</v>
      </c>
      <c r="H224" s="187">
        <f>I44</f>
        <v>0</v>
      </c>
      <c r="I224" s="187">
        <f>J44</f>
        <v>0</v>
      </c>
      <c r="J224" s="187">
        <f>K44</f>
        <v>0</v>
      </c>
      <c r="K224" s="225"/>
      <c r="L224" s="226"/>
      <c r="M224" s="10"/>
      <c r="O224" s="10" t="s">
        <v>440</v>
      </c>
      <c r="P224" s="10" t="s">
        <v>442</v>
      </c>
    </row>
    <row r="225" spans="1:16" x14ac:dyDescent="0.25">
      <c r="B225" s="760" t="str">
        <f>Variables!D70</f>
        <v>Vérification - valeur</v>
      </c>
      <c r="C225" s="761"/>
      <c r="D225" s="761"/>
      <c r="E225" s="761"/>
      <c r="F225" s="762"/>
      <c r="G225" s="237">
        <f>G221</f>
        <v>2024</v>
      </c>
      <c r="H225" s="237">
        <f t="shared" ref="H225:J225" si="34">H221</f>
        <v>2025</v>
      </c>
      <c r="I225" s="237" t="str">
        <f t="shared" si="34"/>
        <v>janv.-mars 2025</v>
      </c>
      <c r="J225" s="237" t="str">
        <f t="shared" si="34"/>
        <v>janv.-mars 2026</v>
      </c>
      <c r="K225" s="225"/>
      <c r="L225" s="226"/>
      <c r="M225" s="10"/>
    </row>
    <row r="226" spans="1:16" ht="14.1" customHeight="1" x14ac:dyDescent="0.25">
      <c r="B226" s="757" t="str">
        <f>B170</f>
        <v>valeur de vente nette rendue (CAD)</v>
      </c>
      <c r="C226" s="758"/>
      <c r="D226" s="758"/>
      <c r="E226" s="758"/>
      <c r="F226" s="759"/>
      <c r="G226" s="187" t="str">
        <f>IF(SUM(E170:G170,E175:G175,E180:G180,E185:G185,E190:G190,E195:G195,E200:G200,E205:G205,E210:G210,E215:G215)&gt;H45,Variables!$D$67,Variables!$D$68)</f>
        <v>Correct</v>
      </c>
      <c r="H226" s="187" t="str">
        <f>IF(SUM(H170:K170,H175:K175,H180:K180,H185:K185,H190:K190,H195:K195,H200:K200,H205:K205,H210:K210,H215:K215)&gt;I45,Variables!$D$67,Variables!$D$68)</f>
        <v>Correct</v>
      </c>
      <c r="I226" s="187" t="str">
        <f>IF(SUM(H170,H175,H180,H185,H190,H195,H200,H205,H210,H215)&gt;J45,Variables!$D$67,Variables!$D$68)</f>
        <v>Correct</v>
      </c>
      <c r="J226" s="187" t="str">
        <f>IF(SUM(L170,L175,L180,L185,L190,L195,L200,L205,L210,L215)&gt;K45,Variables!$D$67,Variables!$D$68)</f>
        <v>Correct</v>
      </c>
      <c r="K226" s="225"/>
      <c r="L226" s="226"/>
      <c r="M226" s="10"/>
    </row>
    <row r="227" spans="1:16" ht="30" customHeight="1" x14ac:dyDescent="0.25">
      <c r="B227" s="763" t="str">
        <f>IF(Intro!$G$20="English",O227,P227)</f>
        <v>valeur - total des ventes au Canada d'importations des produits de référence (Question 4)</v>
      </c>
      <c r="C227" s="764"/>
      <c r="D227" s="764"/>
      <c r="E227" s="764"/>
      <c r="F227" s="765"/>
      <c r="G227" s="191">
        <f>SUM(E170:G170,E175:G175,E180:G180,E185:G185,E190:G190,E195:G195,E200:G200,E205:G205,E210:G210,E215:G215)</f>
        <v>0</v>
      </c>
      <c r="H227" s="191">
        <f>SUM(H170:K170,H175:K175,H180:K180,H185:K185,H190:K190,H195:K195,H200:K200,H205:K205,H210:K210,H215:K215)</f>
        <v>0</v>
      </c>
      <c r="I227" s="191">
        <f>SUM(H170,H175,H180,H185,H190,H195,H200,H205,H210,H215)</f>
        <v>0</v>
      </c>
      <c r="J227" s="191">
        <f>SUM(L170,L175,L180,L185,L190,L195,L200,L205,L210,L215)</f>
        <v>0</v>
      </c>
      <c r="K227" s="225"/>
      <c r="L227" s="226"/>
      <c r="M227" s="10"/>
      <c r="O227" s="10" t="s">
        <v>448</v>
      </c>
      <c r="P227" s="10" t="s">
        <v>450</v>
      </c>
    </row>
    <row r="228" spans="1:16" ht="14.1" customHeight="1" x14ac:dyDescent="0.25">
      <c r="B228" s="763" t="str">
        <f>IF(Intro!$G$20="English",O228,P228)</f>
        <v>valeur - total des ventes au Canada d'importations (Question 1)</v>
      </c>
      <c r="C228" s="764"/>
      <c r="D228" s="764"/>
      <c r="E228" s="764"/>
      <c r="F228" s="765"/>
      <c r="G228" s="187">
        <f>H45</f>
        <v>0</v>
      </c>
      <c r="H228" s="187">
        <f>I45</f>
        <v>0</v>
      </c>
      <c r="I228" s="187">
        <f>J45</f>
        <v>0</v>
      </c>
      <c r="J228" s="187">
        <f>K45</f>
        <v>0</v>
      </c>
      <c r="K228" s="225"/>
      <c r="L228" s="226"/>
      <c r="M228" s="10"/>
      <c r="O228" s="10" t="s">
        <v>446</v>
      </c>
      <c r="P228" s="10" t="s">
        <v>444</v>
      </c>
    </row>
    <row r="229" spans="1:16" x14ac:dyDescent="0.25">
      <c r="B229" s="72"/>
      <c r="C229" s="82"/>
      <c r="D229" s="82"/>
      <c r="E229" s="82"/>
      <c r="F229" s="82"/>
      <c r="G229" s="82"/>
      <c r="H229" s="82"/>
      <c r="I229" s="82"/>
      <c r="J229" s="82"/>
      <c r="K229" s="82"/>
      <c r="L229" s="83"/>
      <c r="M229" s="10"/>
    </row>
    <row r="230" spans="1:16" s="44" customFormat="1" x14ac:dyDescent="0.25">
      <c r="A230" s="92"/>
      <c r="B230" s="4"/>
      <c r="C230" s="4"/>
      <c r="D230" s="77"/>
      <c r="E230" s="77"/>
      <c r="F230" s="77"/>
      <c r="G230" s="77"/>
      <c r="H230" s="77"/>
      <c r="I230" s="77"/>
      <c r="J230" s="77"/>
      <c r="K230" s="77"/>
      <c r="L230" s="77"/>
      <c r="N230" s="78"/>
    </row>
    <row r="231" spans="1:16" x14ac:dyDescent="0.25">
      <c r="B231" s="533" t="str">
        <f>IF(Intro!$G$20="English",O231,P231)</f>
        <v>DONNÉES SUR LES IMPORTATIONS POUR LA PÉRIODE D'ENQUÊTE ANTIDUMPING DE L'ASFC</v>
      </c>
      <c r="C231" s="534"/>
      <c r="D231" s="534"/>
      <c r="E231" s="534"/>
      <c r="F231" s="534"/>
      <c r="G231" s="534"/>
      <c r="H231" s="534"/>
      <c r="I231" s="534"/>
      <c r="J231" s="534"/>
      <c r="K231" s="534"/>
      <c r="L231" s="535"/>
      <c r="M231" s="10"/>
      <c r="O231" s="105" t="s">
        <v>337</v>
      </c>
      <c r="P231" s="105" t="s">
        <v>338</v>
      </c>
    </row>
    <row r="232" spans="1:16" s="207" customFormat="1" x14ac:dyDescent="0.25">
      <c r="A232" s="7"/>
      <c r="B232" s="671" t="s">
        <v>18</v>
      </c>
      <c r="C232" s="672"/>
      <c r="D232" s="672"/>
      <c r="E232" s="672"/>
      <c r="F232" s="672"/>
      <c r="G232" s="672"/>
      <c r="H232" s="672"/>
      <c r="I232" s="672"/>
      <c r="J232" s="672"/>
      <c r="K232" s="672"/>
      <c r="L232" s="673"/>
      <c r="M232" s="73"/>
      <c r="O232" s="10"/>
    </row>
    <row r="233" spans="1:16" x14ac:dyDescent="0.25">
      <c r="B233" s="16"/>
      <c r="C233" s="35"/>
      <c r="D233" s="35"/>
      <c r="E233" s="36"/>
      <c r="F233" s="36"/>
      <c r="G233" s="36"/>
      <c r="H233" s="36"/>
      <c r="I233" s="36"/>
      <c r="J233" s="36"/>
      <c r="K233" s="36"/>
      <c r="L233" s="17"/>
      <c r="M233" s="10"/>
    </row>
    <row r="234" spans="1:16" x14ac:dyDescent="0.25">
      <c r="B234" s="530" t="str">
        <f>IF(Intro!$G$20="English",O234,P234)</f>
        <v>Indiquez le volume et la valeur des importations pendant la période d'enquête de dumping de l'ASFC :</v>
      </c>
      <c r="C234" s="531"/>
      <c r="D234" s="531"/>
      <c r="E234" s="531"/>
      <c r="F234" s="531"/>
      <c r="G234" s="531"/>
      <c r="H234" s="531"/>
      <c r="I234" s="531"/>
      <c r="J234" s="531"/>
      <c r="K234" s="531"/>
      <c r="L234" s="532"/>
      <c r="M234" s="10"/>
      <c r="O234" s="18" t="s">
        <v>199</v>
      </c>
      <c r="P234" s="10" t="s">
        <v>200</v>
      </c>
    </row>
    <row r="235" spans="1:16" x14ac:dyDescent="0.25">
      <c r="B235" s="233"/>
      <c r="C235" s="234"/>
      <c r="D235" s="35"/>
      <c r="E235" s="36"/>
      <c r="F235" s="36"/>
      <c r="G235" s="36"/>
      <c r="H235" s="36"/>
      <c r="I235" s="36"/>
      <c r="J235" s="36"/>
      <c r="K235" s="36"/>
      <c r="L235" s="17"/>
      <c r="M235" s="10"/>
      <c r="O235" s="18"/>
    </row>
    <row r="236" spans="1:16" ht="27" customHeight="1" x14ac:dyDescent="0.25">
      <c r="B236" s="48"/>
      <c r="C236" s="45"/>
      <c r="D236" s="35"/>
      <c r="E236" s="10"/>
      <c r="F236" s="775" t="str">
        <f>IF(Intro!$G$20="English",Variables!B41,Variables!C41)</f>
        <v>1er décembre 2024 - 30 novembre 2025</v>
      </c>
      <c r="G236" s="776"/>
      <c r="H236" s="225"/>
      <c r="I236" s="225"/>
      <c r="J236" s="225"/>
      <c r="K236" s="225"/>
      <c r="L236" s="71"/>
      <c r="M236" s="10"/>
      <c r="O236" s="47"/>
      <c r="P236" s="47"/>
    </row>
    <row r="237" spans="1:16" x14ac:dyDescent="0.25">
      <c r="B237" s="567" t="str">
        <f>IF(Intro!$G$20="English",O237,P237)</f>
        <v>Importations</v>
      </c>
      <c r="C237" s="748" t="str">
        <f>D26</f>
        <v>tonnes</v>
      </c>
      <c r="D237" s="748"/>
      <c r="E237" s="748"/>
      <c r="F237" s="777"/>
      <c r="G237" s="778"/>
      <c r="H237" s="225"/>
      <c r="I237" s="225"/>
      <c r="J237" s="225"/>
      <c r="K237" s="225"/>
      <c r="L237" s="71"/>
      <c r="M237" s="10"/>
      <c r="O237" s="10" t="s">
        <v>91</v>
      </c>
      <c r="P237" s="10" t="s">
        <v>170</v>
      </c>
    </row>
    <row r="238" spans="1:16" x14ac:dyDescent="0.25">
      <c r="B238" s="567"/>
      <c r="C238" s="748" t="str">
        <f>D27</f>
        <v>valeur d'achat nette rendue (CAD)</v>
      </c>
      <c r="D238" s="748"/>
      <c r="E238" s="748"/>
      <c r="F238" s="777"/>
      <c r="G238" s="778"/>
      <c r="H238" s="225"/>
      <c r="I238" s="225"/>
      <c r="J238" s="225"/>
      <c r="K238" s="225"/>
      <c r="L238" s="71"/>
      <c r="M238" s="10"/>
    </row>
    <row r="239" spans="1:16" x14ac:dyDescent="0.25">
      <c r="B239" s="567"/>
      <c r="C239" s="748" t="str">
        <f>D28</f>
        <v>$ / tonne</v>
      </c>
      <c r="D239" s="748"/>
      <c r="E239" s="748"/>
      <c r="F239" s="779" t="str">
        <f>IF(F237=0,"-",F238/F237)</f>
        <v>-</v>
      </c>
      <c r="G239" s="780"/>
      <c r="H239" s="88"/>
      <c r="I239" s="88"/>
      <c r="J239" s="88"/>
      <c r="K239" s="88"/>
      <c r="L239" s="71"/>
      <c r="M239" s="10"/>
    </row>
    <row r="240" spans="1:16" x14ac:dyDescent="0.25">
      <c r="B240" s="46"/>
      <c r="C240" s="115"/>
      <c r="D240" s="115"/>
      <c r="E240" s="34"/>
      <c r="F240" s="34"/>
      <c r="G240" s="34"/>
      <c r="H240" s="34"/>
      <c r="I240" s="34"/>
      <c r="J240" s="34"/>
      <c r="K240" s="34"/>
      <c r="L240" s="37"/>
      <c r="M240" s="10"/>
    </row>
    <row r="241" spans="1:19" s="44" customFormat="1" x14ac:dyDescent="0.25">
      <c r="A241" s="92"/>
      <c r="B241" s="4"/>
      <c r="C241" s="4"/>
      <c r="D241" s="77"/>
      <c r="E241" s="77"/>
      <c r="F241" s="77"/>
      <c r="G241" s="77"/>
      <c r="H241" s="77"/>
      <c r="I241" s="77"/>
      <c r="J241" s="77"/>
      <c r="K241" s="77"/>
      <c r="L241" s="77"/>
      <c r="N241" s="78"/>
    </row>
    <row r="242" spans="1:19" x14ac:dyDescent="0.25">
      <c r="B242" s="533" t="str">
        <f>UPPER(IF(Intro!$G$20="English",O242,P242))</f>
        <v>DONNÉES SUR LES IMPORTATIONS POUR L'ANALYSE DES IMPORTATIONS MASSIVES</v>
      </c>
      <c r="C242" s="534"/>
      <c r="D242" s="534"/>
      <c r="E242" s="534"/>
      <c r="F242" s="534"/>
      <c r="G242" s="534"/>
      <c r="H242" s="534"/>
      <c r="I242" s="534"/>
      <c r="J242" s="534"/>
      <c r="K242" s="534"/>
      <c r="L242" s="535"/>
      <c r="M242" s="10"/>
      <c r="O242" s="105" t="s">
        <v>339</v>
      </c>
      <c r="P242" s="105" t="s">
        <v>402</v>
      </c>
    </row>
    <row r="243" spans="1:19" s="207" customFormat="1" x14ac:dyDescent="0.25">
      <c r="A243" s="7"/>
      <c r="B243" s="671" t="s">
        <v>19</v>
      </c>
      <c r="C243" s="672"/>
      <c r="D243" s="672"/>
      <c r="E243" s="672"/>
      <c r="F243" s="672"/>
      <c r="G243" s="672"/>
      <c r="H243" s="672"/>
      <c r="I243" s="672"/>
      <c r="J243" s="672"/>
      <c r="K243" s="672"/>
      <c r="L243" s="673"/>
      <c r="M243" s="73"/>
      <c r="O243" s="10"/>
    </row>
    <row r="244" spans="1:19" x14ac:dyDescent="0.25">
      <c r="B244" s="16"/>
      <c r="C244" s="35"/>
      <c r="D244" s="35"/>
      <c r="E244" s="36"/>
      <c r="F244" s="36"/>
      <c r="G244" s="36"/>
      <c r="H244" s="36"/>
      <c r="I244" s="36"/>
      <c r="J244" s="36"/>
      <c r="K244" s="36"/>
      <c r="L244" s="17"/>
      <c r="M244" s="10"/>
    </row>
    <row r="245" spans="1:19" x14ac:dyDescent="0.25">
      <c r="B245" s="530" t="str">
        <f>IF(Intro!$G$20="English",O245,P245)</f>
        <v>Indiquez le volume des importations et le stock de clôture au Canada des marchandises provenant de l'exportateur décrit ci-dessus :</v>
      </c>
      <c r="C245" s="531"/>
      <c r="D245" s="531"/>
      <c r="E245" s="531"/>
      <c r="F245" s="531"/>
      <c r="G245" s="531"/>
      <c r="H245" s="531"/>
      <c r="I245" s="531"/>
      <c r="J245" s="531"/>
      <c r="K245" s="531"/>
      <c r="L245" s="532"/>
      <c r="M245" s="10"/>
      <c r="O245" s="18" t="s">
        <v>194</v>
      </c>
      <c r="P245" s="10" t="s">
        <v>404</v>
      </c>
    </row>
    <row r="246" spans="1:19" x14ac:dyDescent="0.25">
      <c r="B246" s="233"/>
      <c r="C246" s="234"/>
      <c r="D246" s="35"/>
      <c r="E246" s="36"/>
      <c r="F246" s="36"/>
      <c r="G246" s="36"/>
      <c r="H246" s="36"/>
      <c r="I246" s="36"/>
      <c r="J246" s="36"/>
      <c r="K246" s="36"/>
      <c r="L246" s="17"/>
      <c r="M246" s="10"/>
      <c r="O246" s="18"/>
    </row>
    <row r="247" spans="1:19" x14ac:dyDescent="0.25">
      <c r="B247" s="233"/>
      <c r="C247" s="234"/>
      <c r="D247" s="35"/>
      <c r="E247" s="240" t="str">
        <f>IF(Intro!$G$20="English",Variables!B83,Variables!C83)</f>
        <v>T2 2024</v>
      </c>
      <c r="F247" s="240" t="str">
        <f>IF(Intro!$G$20="English",Variables!B84,Variables!C84)</f>
        <v>T3 2024</v>
      </c>
      <c r="G247" s="240" t="str">
        <f>IF(Intro!$G$20="English",Variables!B74,Variables!C74)</f>
        <v>T4 2024</v>
      </c>
      <c r="H247" s="240" t="str">
        <f>IF(Intro!$G$20="English",Variables!B75,Variables!C75)</f>
        <v>T1 2025</v>
      </c>
      <c r="I247" s="240" t="str">
        <f>IF(Intro!$G$20="English",Variables!B76,Variables!C76)</f>
        <v>T2 2025</v>
      </c>
      <c r="J247" s="240" t="str">
        <f>IF(Intro!$G$20="English",Variables!B77,Variables!C77)</f>
        <v>T3 2025</v>
      </c>
      <c r="K247" s="266" t="str">
        <f>IF(Intro!$G$20="English",Variables!B78,Variables!C78)</f>
        <v>T4 2025</v>
      </c>
      <c r="L247" s="266" t="str">
        <f>IF(Intro!$G$20="English",Variables!B79,Variables!C79)</f>
        <v>T1 2026</v>
      </c>
      <c r="M247" s="10"/>
      <c r="O247" s="18"/>
    </row>
    <row r="248" spans="1:19" x14ac:dyDescent="0.25">
      <c r="B248" s="745" t="str">
        <f>B237</f>
        <v>Importations</v>
      </c>
      <c r="C248" s="746"/>
      <c r="D248" s="241" t="str">
        <f>C237</f>
        <v>tonnes</v>
      </c>
      <c r="E248" s="181"/>
      <c r="F248" s="181"/>
      <c r="G248" s="181"/>
      <c r="H248" s="181"/>
      <c r="I248" s="181"/>
      <c r="J248" s="181"/>
      <c r="K248" s="181"/>
      <c r="L248" s="181"/>
      <c r="M248" s="10"/>
    </row>
    <row r="249" spans="1:19" x14ac:dyDescent="0.25">
      <c r="B249" s="745" t="str">
        <f>IF(Intro!$G$20="English",O249,P249)</f>
        <v>Stock de clôture</v>
      </c>
      <c r="C249" s="746"/>
      <c r="D249" s="241" t="str">
        <f>C237</f>
        <v>tonnes</v>
      </c>
      <c r="E249" s="181"/>
      <c r="F249" s="181"/>
      <c r="G249" s="181"/>
      <c r="H249" s="181"/>
      <c r="I249" s="181"/>
      <c r="J249" s="181"/>
      <c r="K249" s="181"/>
      <c r="L249" s="181"/>
      <c r="M249" s="10"/>
      <c r="O249" s="10" t="s">
        <v>195</v>
      </c>
      <c r="P249" s="10" t="s">
        <v>403</v>
      </c>
    </row>
    <row r="250" spans="1:19" x14ac:dyDescent="0.25">
      <c r="B250" s="233"/>
      <c r="C250" s="234"/>
      <c r="D250" s="234"/>
      <c r="E250" s="29"/>
      <c r="F250" s="29"/>
      <c r="G250" s="29"/>
      <c r="H250" s="29"/>
      <c r="I250" s="29"/>
      <c r="J250" s="29"/>
      <c r="K250" s="29"/>
      <c r="L250" s="30"/>
      <c r="M250" s="10"/>
    </row>
    <row r="251" spans="1:19" x14ac:dyDescent="0.25">
      <c r="B251" s="527" t="str">
        <f>IF(Intro!$G$20="English",O251,P251)</f>
        <v>Dans le tableau ci-dessous, « Erreur » signifie que la somme des importations trimestrielles déclarées ci-dessus dépasse les importations annuelles déclarées à la question 1. Par conséquent, veuillez modifier les données si nécessaire.</v>
      </c>
      <c r="C251" s="528"/>
      <c r="D251" s="528"/>
      <c r="E251" s="528"/>
      <c r="F251" s="528"/>
      <c r="G251" s="528"/>
      <c r="H251" s="528"/>
      <c r="I251" s="528"/>
      <c r="J251" s="528"/>
      <c r="K251" s="528"/>
      <c r="L251" s="529"/>
      <c r="M251" s="10"/>
      <c r="O251" s="10" t="s">
        <v>457</v>
      </c>
      <c r="P251" s="10" t="s">
        <v>458</v>
      </c>
      <c r="S251" s="38"/>
    </row>
    <row r="252" spans="1:19" x14ac:dyDescent="0.25">
      <c r="B252" s="527"/>
      <c r="C252" s="528"/>
      <c r="D252" s="528"/>
      <c r="E252" s="528"/>
      <c r="F252" s="528"/>
      <c r="G252" s="528"/>
      <c r="H252" s="528"/>
      <c r="I252" s="528"/>
      <c r="J252" s="528"/>
      <c r="K252" s="528"/>
      <c r="L252" s="529"/>
      <c r="M252" s="10"/>
      <c r="S252" s="38"/>
    </row>
    <row r="253" spans="1:19" x14ac:dyDescent="0.25">
      <c r="B253" s="230"/>
      <c r="C253" s="231"/>
      <c r="D253" s="231"/>
      <c r="E253" s="231"/>
      <c r="F253" s="231"/>
      <c r="G253" s="231"/>
      <c r="H253" s="231"/>
      <c r="I253" s="231"/>
      <c r="J253" s="231"/>
      <c r="K253" s="231"/>
      <c r="L253" s="232"/>
      <c r="M253" s="10"/>
      <c r="S253" s="38"/>
    </row>
    <row r="254" spans="1:19" x14ac:dyDescent="0.25">
      <c r="B254" s="192"/>
      <c r="C254" s="179"/>
      <c r="D254" s="194"/>
      <c r="E254" s="45"/>
      <c r="F254" s="237">
        <f>G254-1</f>
        <v>2025</v>
      </c>
      <c r="G254" s="237">
        <f>Variables!B8</f>
        <v>2026</v>
      </c>
      <c r="H254" s="193"/>
      <c r="I254" s="225"/>
      <c r="J254" s="225"/>
      <c r="K254" s="225"/>
      <c r="L254" s="160"/>
      <c r="M254" s="10"/>
      <c r="O254" s="18"/>
    </row>
    <row r="255" spans="1:19" ht="14.45" customHeight="1" x14ac:dyDescent="0.25">
      <c r="B255" s="192"/>
      <c r="C255" s="199"/>
      <c r="D255" s="781" t="str">
        <f>B221</f>
        <v>Vérification - volume</v>
      </c>
      <c r="E255" s="782"/>
      <c r="F255" s="187" t="str">
        <f>IF(SUM(H248+I248+J248+K248)&gt;I26,Variables!$D$67,Variables!$D$68)</f>
        <v>Correct</v>
      </c>
      <c r="G255" s="187" t="str">
        <f>IF(SUM(L248)&gt;K26,Variables!$D$67,Variables!$D$68)</f>
        <v>Correct</v>
      </c>
      <c r="H255" s="193"/>
      <c r="I255" s="225"/>
      <c r="J255" s="225"/>
      <c r="K255" s="225"/>
      <c r="L255" s="160"/>
      <c r="M255" s="10"/>
    </row>
    <row r="256" spans="1:19" s="44" customFormat="1" x14ac:dyDescent="0.25">
      <c r="A256" s="92"/>
      <c r="B256" s="195"/>
      <c r="C256" s="196"/>
      <c r="D256" s="197"/>
      <c r="E256" s="197"/>
      <c r="F256" s="197"/>
      <c r="G256" s="197"/>
      <c r="H256" s="197"/>
      <c r="I256" s="197"/>
      <c r="J256" s="197"/>
      <c r="K256" s="197"/>
      <c r="L256" s="198"/>
      <c r="N256" s="78"/>
    </row>
    <row r="257" spans="1:18" s="207" customFormat="1" x14ac:dyDescent="0.25">
      <c r="A257" s="7"/>
      <c r="B257" s="21" t="s">
        <v>20</v>
      </c>
      <c r="C257" s="22"/>
      <c r="D257" s="22"/>
      <c r="E257" s="23"/>
      <c r="F257" s="23"/>
      <c r="G257" s="23"/>
      <c r="H257" s="23"/>
      <c r="I257" s="23"/>
      <c r="J257" s="23"/>
      <c r="K257" s="23"/>
      <c r="L257" s="24"/>
      <c r="M257" s="73"/>
    </row>
    <row r="258" spans="1:18" s="38" customFormat="1" x14ac:dyDescent="0.25">
      <c r="A258" s="49"/>
      <c r="B258" s="53"/>
      <c r="C258" s="93"/>
      <c r="D258" s="93"/>
      <c r="E258" s="93"/>
      <c r="F258" s="93"/>
      <c r="G258" s="93"/>
      <c r="H258" s="93"/>
      <c r="I258" s="93"/>
      <c r="J258" s="93"/>
      <c r="K258" s="93"/>
      <c r="L258" s="54"/>
      <c r="O258" s="10"/>
      <c r="P258" s="10"/>
      <c r="Q258" s="10"/>
      <c r="R258" s="10"/>
    </row>
    <row r="259" spans="1:18" s="38" customFormat="1" x14ac:dyDescent="0.25">
      <c r="A259" s="49"/>
      <c r="B259" s="527" t="str">
        <f>IF(Intro!$G$20="English",O259,P259)</f>
        <v>Décrivez tous les facteurs (par exemple, les retards d’expédition, la saisonnalité, etc.) qui pourraient expliquer la tendance générale des volumes d’importation trimestriels et des stocks finals de votre entreprise, comme indiqué dans la question 6.</v>
      </c>
      <c r="C259" s="528"/>
      <c r="D259" s="528"/>
      <c r="E259" s="528"/>
      <c r="F259" s="528"/>
      <c r="G259" s="528"/>
      <c r="H259" s="528"/>
      <c r="I259" s="528"/>
      <c r="J259" s="528"/>
      <c r="K259" s="528"/>
      <c r="L259" s="529"/>
      <c r="O259" s="10" t="s">
        <v>375</v>
      </c>
      <c r="P259" s="10" t="s">
        <v>376</v>
      </c>
      <c r="Q259" s="10"/>
      <c r="R259" s="10"/>
    </row>
    <row r="260" spans="1:18" s="38" customFormat="1" x14ac:dyDescent="0.25">
      <c r="A260" s="49"/>
      <c r="B260" s="527"/>
      <c r="C260" s="528"/>
      <c r="D260" s="528"/>
      <c r="E260" s="528"/>
      <c r="F260" s="528"/>
      <c r="G260" s="528"/>
      <c r="H260" s="528"/>
      <c r="I260" s="528"/>
      <c r="J260" s="528"/>
      <c r="K260" s="528"/>
      <c r="L260" s="529"/>
      <c r="O260" s="10"/>
      <c r="P260" s="10"/>
      <c r="Q260" s="10"/>
      <c r="R260" s="10"/>
    </row>
    <row r="261" spans="1:18" s="38" customFormat="1" x14ac:dyDescent="0.25">
      <c r="A261" s="49"/>
      <c r="B261" s="53"/>
      <c r="C261" s="93"/>
      <c r="D261" s="93"/>
      <c r="E261" s="93"/>
      <c r="F261" s="93"/>
      <c r="G261" s="93"/>
      <c r="H261" s="93"/>
      <c r="I261" s="93"/>
      <c r="J261" s="93"/>
      <c r="K261" s="93"/>
      <c r="L261" s="54"/>
      <c r="O261" s="10"/>
      <c r="P261" s="10"/>
      <c r="Q261" s="10"/>
      <c r="R261" s="10"/>
    </row>
    <row r="262" spans="1:18" s="207" customFormat="1" x14ac:dyDescent="0.25">
      <c r="A262" s="8"/>
      <c r="B262" s="663"/>
      <c r="C262" s="664"/>
      <c r="D262" s="664"/>
      <c r="E262" s="664"/>
      <c r="F262" s="664"/>
      <c r="G262" s="664"/>
      <c r="H262" s="664"/>
      <c r="I262" s="664"/>
      <c r="J262" s="664"/>
      <c r="K262" s="664"/>
      <c r="L262" s="665"/>
      <c r="M262" s="38"/>
    </row>
    <row r="263" spans="1:18" s="207" customFormat="1" x14ac:dyDescent="0.25">
      <c r="A263" s="8"/>
      <c r="B263" s="663"/>
      <c r="C263" s="664"/>
      <c r="D263" s="664"/>
      <c r="E263" s="664"/>
      <c r="F263" s="664"/>
      <c r="G263" s="664"/>
      <c r="H263" s="664"/>
      <c r="I263" s="664"/>
      <c r="J263" s="664"/>
      <c r="K263" s="664"/>
      <c r="L263" s="665"/>
      <c r="M263" s="38"/>
    </row>
    <row r="264" spans="1:18" s="207" customFormat="1" x14ac:dyDescent="0.25">
      <c r="A264" s="8"/>
      <c r="B264" s="663"/>
      <c r="C264" s="664"/>
      <c r="D264" s="664"/>
      <c r="E264" s="664"/>
      <c r="F264" s="664"/>
      <c r="G264" s="664"/>
      <c r="H264" s="664"/>
      <c r="I264" s="664"/>
      <c r="J264" s="664"/>
      <c r="K264" s="664"/>
      <c r="L264" s="665"/>
      <c r="M264" s="38"/>
    </row>
    <row r="265" spans="1:18" s="207" customFormat="1" x14ac:dyDescent="0.25">
      <c r="A265" s="8"/>
      <c r="B265" s="663"/>
      <c r="C265" s="664"/>
      <c r="D265" s="664"/>
      <c r="E265" s="664"/>
      <c r="F265" s="664"/>
      <c r="G265" s="664"/>
      <c r="H265" s="664"/>
      <c r="I265" s="664"/>
      <c r="J265" s="664"/>
      <c r="K265" s="664"/>
      <c r="L265" s="665"/>
      <c r="M265" s="38"/>
    </row>
    <row r="266" spans="1:18" s="207" customFormat="1" x14ac:dyDescent="0.25">
      <c r="A266" s="8"/>
      <c r="B266" s="663"/>
      <c r="C266" s="664"/>
      <c r="D266" s="664"/>
      <c r="E266" s="664"/>
      <c r="F266" s="664"/>
      <c r="G266" s="664"/>
      <c r="H266" s="664"/>
      <c r="I266" s="664"/>
      <c r="J266" s="664"/>
      <c r="K266" s="664"/>
      <c r="L266" s="665"/>
      <c r="M266" s="38"/>
    </row>
    <row r="267" spans="1:18" s="207" customFormat="1" x14ac:dyDescent="0.25">
      <c r="A267" s="8"/>
      <c r="B267" s="663"/>
      <c r="C267" s="664"/>
      <c r="D267" s="664"/>
      <c r="E267" s="664"/>
      <c r="F267" s="664"/>
      <c r="G267" s="664"/>
      <c r="H267" s="664"/>
      <c r="I267" s="664"/>
      <c r="J267" s="664"/>
      <c r="K267" s="664"/>
      <c r="L267" s="665"/>
      <c r="M267" s="38"/>
    </row>
    <row r="268" spans="1:18" s="207" customFormat="1" x14ac:dyDescent="0.25">
      <c r="A268" s="8"/>
      <c r="B268" s="663"/>
      <c r="C268" s="664"/>
      <c r="D268" s="664"/>
      <c r="E268" s="664"/>
      <c r="F268" s="664"/>
      <c r="G268" s="664"/>
      <c r="H268" s="664"/>
      <c r="I268" s="664"/>
      <c r="J268" s="664"/>
      <c r="K268" s="664"/>
      <c r="L268" s="665"/>
      <c r="M268" s="38"/>
    </row>
    <row r="269" spans="1:18" s="207" customFormat="1" x14ac:dyDescent="0.25">
      <c r="A269" s="8"/>
      <c r="B269" s="663"/>
      <c r="C269" s="664"/>
      <c r="D269" s="664"/>
      <c r="E269" s="664"/>
      <c r="F269" s="664"/>
      <c r="G269" s="664"/>
      <c r="H269" s="664"/>
      <c r="I269" s="664"/>
      <c r="J269" s="664"/>
      <c r="K269" s="664"/>
      <c r="L269" s="665"/>
      <c r="M269" s="38"/>
    </row>
    <row r="270" spans="1:18" s="38" customFormat="1" x14ac:dyDescent="0.25">
      <c r="A270" s="49"/>
      <c r="B270" s="50"/>
      <c r="C270" s="51"/>
      <c r="D270" s="51"/>
      <c r="E270" s="51"/>
      <c r="F270" s="51"/>
      <c r="G270" s="51"/>
      <c r="H270" s="51"/>
      <c r="I270" s="51"/>
      <c r="J270" s="51"/>
      <c r="K270" s="51"/>
      <c r="L270" s="52"/>
      <c r="O270" s="10"/>
      <c r="P270" s="10"/>
      <c r="Q270" s="10"/>
      <c r="R270" s="10"/>
    </row>
  </sheetData>
  <sheetProtection algorithmName="SHA-512" hashValue="Kq96vILid8Ce310nuEg4T6VOIhbkjlza1uOimB+SL9tLfSSIs8B1S4S6q6SYxpEU5BhgC0/0agAzhyO+CtpO+g==" saltValue="XEbrN82XnlKYiUcVehIqgw==" spinCount="100000" sheet="1" objects="1" scenarios="1" selectLockedCells="1"/>
  <mergeCells count="204">
    <mergeCell ref="B262:L269"/>
    <mergeCell ref="B249:C249"/>
    <mergeCell ref="B251:L252"/>
    <mergeCell ref="D255:E255"/>
    <mergeCell ref="B259:L260"/>
    <mergeCell ref="C239:E239"/>
    <mergeCell ref="F239:G239"/>
    <mergeCell ref="B242:L242"/>
    <mergeCell ref="B243:L243"/>
    <mergeCell ref="B245:L245"/>
    <mergeCell ref="B248:C248"/>
    <mergeCell ref="B228:F228"/>
    <mergeCell ref="B231:L231"/>
    <mergeCell ref="B232:L232"/>
    <mergeCell ref="B234:L234"/>
    <mergeCell ref="F236:G236"/>
    <mergeCell ref="B237:B239"/>
    <mergeCell ref="C237:E237"/>
    <mergeCell ref="F237:G237"/>
    <mergeCell ref="C238:E238"/>
    <mergeCell ref="F238:G238"/>
    <mergeCell ref="B222:F222"/>
    <mergeCell ref="B223:F223"/>
    <mergeCell ref="B224:F224"/>
    <mergeCell ref="B225:F225"/>
    <mergeCell ref="B226:F226"/>
    <mergeCell ref="B227:F227"/>
    <mergeCell ref="B197:L198"/>
    <mergeCell ref="B199:D199"/>
    <mergeCell ref="B200:D200"/>
    <mergeCell ref="B201:D201"/>
    <mergeCell ref="B218:L219"/>
    <mergeCell ref="B221:F221"/>
    <mergeCell ref="B202:L203"/>
    <mergeCell ref="B204:D204"/>
    <mergeCell ref="B205:D205"/>
    <mergeCell ref="B206:D206"/>
    <mergeCell ref="B207:L208"/>
    <mergeCell ref="B209:D209"/>
    <mergeCell ref="B210:D210"/>
    <mergeCell ref="B211:D211"/>
    <mergeCell ref="B212:L213"/>
    <mergeCell ref="B214:D214"/>
    <mergeCell ref="B215:D215"/>
    <mergeCell ref="B216:D216"/>
    <mergeCell ref="B190:D190"/>
    <mergeCell ref="B191:D191"/>
    <mergeCell ref="B192:L193"/>
    <mergeCell ref="B194:D194"/>
    <mergeCell ref="B195:D195"/>
    <mergeCell ref="B196:D196"/>
    <mergeCell ref="B182:L183"/>
    <mergeCell ref="B184:D184"/>
    <mergeCell ref="B185:D185"/>
    <mergeCell ref="B186:D186"/>
    <mergeCell ref="B187:L188"/>
    <mergeCell ref="B189:D189"/>
    <mergeCell ref="B175:D175"/>
    <mergeCell ref="B176:D176"/>
    <mergeCell ref="B177:L178"/>
    <mergeCell ref="B179:D179"/>
    <mergeCell ref="B180:D180"/>
    <mergeCell ref="B181:D181"/>
    <mergeCell ref="B167:L168"/>
    <mergeCell ref="B169:D169"/>
    <mergeCell ref="B170:D170"/>
    <mergeCell ref="B171:D171"/>
    <mergeCell ref="B172:L173"/>
    <mergeCell ref="B174:D174"/>
    <mergeCell ref="B157:F157"/>
    <mergeCell ref="B160:L160"/>
    <mergeCell ref="B161:L161"/>
    <mergeCell ref="B163:L163"/>
    <mergeCell ref="B164:L164"/>
    <mergeCell ref="B166:D166"/>
    <mergeCell ref="B151:F151"/>
    <mergeCell ref="B152:F152"/>
    <mergeCell ref="B153:F153"/>
    <mergeCell ref="B154:F154"/>
    <mergeCell ref="B155:F155"/>
    <mergeCell ref="B156:F156"/>
    <mergeCell ref="B131:L132"/>
    <mergeCell ref="B133:D133"/>
    <mergeCell ref="B134:D134"/>
    <mergeCell ref="B135:D135"/>
    <mergeCell ref="B147:L148"/>
    <mergeCell ref="B150:F150"/>
    <mergeCell ref="B124:D124"/>
    <mergeCell ref="B125:D125"/>
    <mergeCell ref="B126:L127"/>
    <mergeCell ref="B128:D128"/>
    <mergeCell ref="B129:D129"/>
    <mergeCell ref="B130:D130"/>
    <mergeCell ref="B136:L137"/>
    <mergeCell ref="B138:D138"/>
    <mergeCell ref="B139:D139"/>
    <mergeCell ref="B140:D140"/>
    <mergeCell ref="B141:L142"/>
    <mergeCell ref="B143:D143"/>
    <mergeCell ref="B144:D144"/>
    <mergeCell ref="B145:D145"/>
    <mergeCell ref="B116:L117"/>
    <mergeCell ref="B118:D118"/>
    <mergeCell ref="B119:D119"/>
    <mergeCell ref="B120:D120"/>
    <mergeCell ref="B121:L122"/>
    <mergeCell ref="B123:D123"/>
    <mergeCell ref="B109:D109"/>
    <mergeCell ref="B110:D110"/>
    <mergeCell ref="B111:L112"/>
    <mergeCell ref="B113:D113"/>
    <mergeCell ref="B114:D114"/>
    <mergeCell ref="B115:D115"/>
    <mergeCell ref="B101:L102"/>
    <mergeCell ref="B103:D103"/>
    <mergeCell ref="B104:D104"/>
    <mergeCell ref="B105:D105"/>
    <mergeCell ref="B106:L107"/>
    <mergeCell ref="B108:D108"/>
    <mergeCell ref="B93:L93"/>
    <mergeCell ref="B95:D95"/>
    <mergeCell ref="B96:L97"/>
    <mergeCell ref="B98:D98"/>
    <mergeCell ref="B99:D99"/>
    <mergeCell ref="B100:D100"/>
    <mergeCell ref="B84:F84"/>
    <mergeCell ref="B85:F85"/>
    <mergeCell ref="B86:F86"/>
    <mergeCell ref="B87:F87"/>
    <mergeCell ref="B90:L90"/>
    <mergeCell ref="B91:L91"/>
    <mergeCell ref="B75:D75"/>
    <mergeCell ref="B77:L78"/>
    <mergeCell ref="B80:F80"/>
    <mergeCell ref="B81:F81"/>
    <mergeCell ref="B82:F82"/>
    <mergeCell ref="B83:F83"/>
    <mergeCell ref="B69:D69"/>
    <mergeCell ref="B70:D70"/>
    <mergeCell ref="B71:D71"/>
    <mergeCell ref="B72:L72"/>
    <mergeCell ref="B73:D73"/>
    <mergeCell ref="B74:D74"/>
    <mergeCell ref="B63:D63"/>
    <mergeCell ref="B64:L64"/>
    <mergeCell ref="B65:D65"/>
    <mergeCell ref="B66:D66"/>
    <mergeCell ref="B67:D67"/>
    <mergeCell ref="B68:L68"/>
    <mergeCell ref="B57:D57"/>
    <mergeCell ref="B58:D58"/>
    <mergeCell ref="B59:D59"/>
    <mergeCell ref="B60:L60"/>
    <mergeCell ref="B61:D61"/>
    <mergeCell ref="B62:D62"/>
    <mergeCell ref="B49:L49"/>
    <mergeCell ref="B50:L50"/>
    <mergeCell ref="B52:L52"/>
    <mergeCell ref="B53:L53"/>
    <mergeCell ref="B55:D55"/>
    <mergeCell ref="B56:L56"/>
    <mergeCell ref="B41:C43"/>
    <mergeCell ref="D41:F41"/>
    <mergeCell ref="D42:F42"/>
    <mergeCell ref="D43:F43"/>
    <mergeCell ref="B44:C46"/>
    <mergeCell ref="D44:F44"/>
    <mergeCell ref="D45:F45"/>
    <mergeCell ref="D46:F46"/>
    <mergeCell ref="B37:K37"/>
    <mergeCell ref="B38:C40"/>
    <mergeCell ref="D38:F38"/>
    <mergeCell ref="D39:F39"/>
    <mergeCell ref="D40:F40"/>
    <mergeCell ref="B30:K30"/>
    <mergeCell ref="B31:C33"/>
    <mergeCell ref="D31:F31"/>
    <mergeCell ref="D32:F32"/>
    <mergeCell ref="D33:F33"/>
    <mergeCell ref="B34:C36"/>
    <mergeCell ref="D34:F34"/>
    <mergeCell ref="D35:F35"/>
    <mergeCell ref="D36:F36"/>
    <mergeCell ref="B25:K25"/>
    <mergeCell ref="B26:C28"/>
    <mergeCell ref="D26:F26"/>
    <mergeCell ref="D27:F27"/>
    <mergeCell ref="D28:F28"/>
    <mergeCell ref="B29:K29"/>
    <mergeCell ref="B19:L19"/>
    <mergeCell ref="B20:L20"/>
    <mergeCell ref="B22:F22"/>
    <mergeCell ref="G22:K22"/>
    <mergeCell ref="B10:L10"/>
    <mergeCell ref="B12:L12"/>
    <mergeCell ref="B13:L13"/>
    <mergeCell ref="B14:L14"/>
    <mergeCell ref="B15:L15"/>
    <mergeCell ref="B16:L16"/>
    <mergeCell ref="B4:L4"/>
    <mergeCell ref="B5:L5"/>
    <mergeCell ref="B6:L6"/>
    <mergeCell ref="B8:L8"/>
    <mergeCell ref="B9:L9"/>
  </mergeCells>
  <conditionalFormatting sqref="F255:G255">
    <cfRule type="cellIs" dxfId="20" priority="5" operator="equal">
      <formula>"Error"</formula>
    </cfRule>
  </conditionalFormatting>
  <conditionalFormatting sqref="G81:J83 G85:J87">
    <cfRule type="cellIs" dxfId="19" priority="16" operator="equal">
      <formula>"Error"</formula>
    </cfRule>
  </conditionalFormatting>
  <conditionalFormatting sqref="G151:J153">
    <cfRule type="cellIs" dxfId="18" priority="4" operator="equal">
      <formula>"Error"</formula>
    </cfRule>
  </conditionalFormatting>
  <conditionalFormatting sqref="G155:J157">
    <cfRule type="cellIs" dxfId="17" priority="3" operator="equal">
      <formula>"Error"</formula>
    </cfRule>
  </conditionalFormatting>
  <conditionalFormatting sqref="G222:J224">
    <cfRule type="cellIs" dxfId="16" priority="2" operator="equal">
      <formula>"Error"</formula>
    </cfRule>
  </conditionalFormatting>
  <conditionalFormatting sqref="G226:J228">
    <cfRule type="cellIs" dxfId="15" priority="1" operator="equal">
      <formula>"Error"</formula>
    </cfRule>
  </conditionalFormatting>
  <dataValidations count="4">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21:L122 E248:L249 F237:G238 E199:L200 E194:L195 E189:L190 E184:L185 E179:L180 E174:L175 E169:L170 E133:L134 E128:L129 E123:L124 E118:L119 E113:L114 E108:L109 E103:L104 E98:L99 E73:L74 E69:L70 E65:L66 E61:L62 E57:L58 G34:K35 G31:K32 G26:K27 G41:K42 G38:K39 E143:L144 E138:L139 E214:L215 E209:L210 E204:L205" xr:uid="{A80ED404-9CCD-4830-B99B-04068626EE6D}">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60 F239 E67:L67 E71:L71 E201:L201 E130:L130 E135:L135 E63:L63 E59:L59 E75:L75 E100:L100 E105:L105 E110:L110 E115:L115 E120:L120 E125:L125 G43:K46 E171:L171 E176:L176 E181:L181 E186:L186 E191:L191 E196:L196 E211:L211 G28:K28 E145:L145 G151:J153 G81:J83 G85:J87 G222:J224 G33:K33 G36:K36 G40:K40 F255:G255 E140:L140 G155:J157 E216:L216 E206:L206 G226:J228" xr:uid="{9B00902D-0ED2-4603-A8E0-FA9810B17223}">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62:B264" xr:uid="{456225FF-5150-4C5F-9DCB-E0B9997F3848}">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A008DD8D-D328-48B0-9BDC-1AE32ECAB072}">
      <formula1>1000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47" min="1" max="11" man="1"/>
    <brk id="88" min="1" max="11" man="1"/>
    <brk id="158" min="1" max="11" man="1"/>
    <brk id="229" min="1" max="11"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3F4F9-2689-4947-B72C-2FD9C44475CA}">
  <sheetPr>
    <tabColor rgb="FFFFC000"/>
  </sheetPr>
  <dimension ref="A1"/>
  <sheetViews>
    <sheetView showGridLines="0" zoomScaleNormal="100" workbookViewId="0">
      <selection activeCell="B136" sqref="B136:L137"/>
    </sheetView>
  </sheetViews>
  <sheetFormatPr defaultRowHeight="15" x14ac:dyDescent="0.25"/>
  <sheetData/>
  <sheetProtection algorithmName="SHA-512" hashValue="1dahBgw2cVmJAlkoMmfXnWihbdV/2/5zeBik2FHtMU0FGr+S1UKxJUPgjzDmC5mp0aOhVFutied/SI/SBwsPFg==" saltValue="6296g7Czi4PgVHEKjXQq2A==" spinCount="100000" sheet="1" objects="1" scenarios="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2">
    <tabColor rgb="FF92D050"/>
    <pageSetUpPr fitToPage="1"/>
  </sheetPr>
  <dimension ref="A1:P103"/>
  <sheetViews>
    <sheetView showGridLines="0" zoomScaleNormal="100" workbookViewId="0">
      <selection activeCell="B88" sqref="B88:L88"/>
    </sheetView>
  </sheetViews>
  <sheetFormatPr defaultColWidth="9.140625" defaultRowHeight="14.25" x14ac:dyDescent="0.25"/>
  <cols>
    <col min="1" max="1" width="1.85546875" style="8" customWidth="1"/>
    <col min="2" max="12" width="14.5703125" style="1" customWidth="1"/>
    <col min="13" max="13" width="6.140625" style="9" customWidth="1"/>
    <col min="14" max="14" width="9.140625" style="10" customWidth="1"/>
    <col min="15" max="15" width="10.85546875" style="10" hidden="1" customWidth="1"/>
    <col min="16" max="16" width="8.85546875" style="10" hidden="1" customWidth="1"/>
    <col min="17" max="16384" width="9.140625" style="10"/>
  </cols>
  <sheetData>
    <row r="1" spans="1:16" x14ac:dyDescent="0.25">
      <c r="O1" s="10" t="s">
        <v>419</v>
      </c>
      <c r="P1" s="10" t="s">
        <v>419</v>
      </c>
    </row>
    <row r="2" spans="1:16" x14ac:dyDescent="0.25">
      <c r="B2" s="12" t="str">
        <f>Pro!B2</f>
        <v>PROTÉGÉ</v>
      </c>
      <c r="C2" s="12"/>
      <c r="O2" s="161" t="s">
        <v>93</v>
      </c>
      <c r="P2" s="161" t="s">
        <v>109</v>
      </c>
    </row>
    <row r="3" spans="1:16" x14ac:dyDescent="0.25">
      <c r="B3" s="13"/>
      <c r="C3" s="13"/>
      <c r="O3" s="2"/>
      <c r="P3" s="2"/>
    </row>
    <row r="4" spans="1:16" s="2" customFormat="1" x14ac:dyDescent="0.25">
      <c r="A4" s="4"/>
      <c r="B4" s="615" t="str">
        <f>Info!B4</f>
        <v>QUESTIONNAIRE À L'INTENTION DES IMPORTATEURS</v>
      </c>
      <c r="C4" s="616"/>
      <c r="D4" s="616"/>
      <c r="E4" s="616"/>
      <c r="F4" s="616"/>
      <c r="G4" s="616"/>
      <c r="H4" s="616"/>
      <c r="I4" s="616"/>
      <c r="J4" s="616"/>
      <c r="K4" s="616"/>
      <c r="L4" s="617"/>
      <c r="M4" s="25"/>
      <c r="N4" s="25"/>
      <c r="O4" s="19"/>
      <c r="P4" s="19"/>
    </row>
    <row r="5" spans="1:16" s="2" customFormat="1" x14ac:dyDescent="0.25">
      <c r="A5" s="4"/>
      <c r="B5" s="651" t="str">
        <f>Info!B5</f>
        <v>NQ-2026-001</v>
      </c>
      <c r="C5" s="652"/>
      <c r="D5" s="652"/>
      <c r="E5" s="652"/>
      <c r="F5" s="652"/>
      <c r="G5" s="652"/>
      <c r="H5" s="652"/>
      <c r="I5" s="652"/>
      <c r="J5" s="652"/>
      <c r="K5" s="652"/>
      <c r="L5" s="653"/>
      <c r="M5" s="25"/>
      <c r="N5" s="25"/>
      <c r="O5" s="19"/>
      <c r="P5" s="19"/>
    </row>
    <row r="6" spans="1:16" s="6" customFormat="1" x14ac:dyDescent="0.25">
      <c r="A6" s="4"/>
      <c r="B6" s="651" t="str">
        <f>Info!B6</f>
        <v>TUBAGES DE PUITS DE GAZ ET DE PÉTROLE</v>
      </c>
      <c r="C6" s="652"/>
      <c r="D6" s="652"/>
      <c r="E6" s="652"/>
      <c r="F6" s="652"/>
      <c r="G6" s="652"/>
      <c r="H6" s="652"/>
      <c r="I6" s="652"/>
      <c r="J6" s="652"/>
      <c r="K6" s="652"/>
      <c r="L6" s="653"/>
      <c r="M6" s="19"/>
      <c r="N6" s="19"/>
      <c r="O6" s="15"/>
      <c r="P6" s="15"/>
    </row>
    <row r="7" spans="1:16" s="6" customFormat="1" x14ac:dyDescent="0.25">
      <c r="A7" s="4"/>
      <c r="B7" s="154"/>
      <c r="C7" s="155"/>
      <c r="D7" s="155"/>
      <c r="E7" s="155"/>
      <c r="F7" s="155"/>
      <c r="G7" s="155"/>
      <c r="H7" s="155"/>
      <c r="I7" s="155"/>
      <c r="J7" s="155"/>
      <c r="K7" s="155"/>
      <c r="L7" s="156"/>
      <c r="M7" s="19"/>
      <c r="N7" s="19"/>
      <c r="O7" s="20"/>
    </row>
    <row r="8" spans="1:16" s="6" customFormat="1" x14ac:dyDescent="0.25">
      <c r="A8" s="4"/>
      <c r="B8" s="657" t="str">
        <f>Public!B8</f>
        <v>Les marchandises dans les questions suivantes font référence aux marchandises comme définies dans la description du produit de l'onglet Intro.</v>
      </c>
      <c r="C8" s="658"/>
      <c r="D8" s="658"/>
      <c r="E8" s="658"/>
      <c r="F8" s="658"/>
      <c r="G8" s="658"/>
      <c r="H8" s="658"/>
      <c r="I8" s="658"/>
      <c r="J8" s="658"/>
      <c r="K8" s="658"/>
      <c r="L8" s="659"/>
      <c r="M8" s="19"/>
      <c r="N8" s="19"/>
      <c r="O8" s="15"/>
      <c r="P8" s="15"/>
    </row>
    <row r="9" spans="1:16" s="6" customFormat="1" x14ac:dyDescent="0.25">
      <c r="A9" s="4"/>
      <c r="B9" s="657" t="str">
        <f>Public!B9</f>
        <v>Des informations sur le produit et un glossaire de termes sont disponibles dans l'onglet Info.</v>
      </c>
      <c r="C9" s="658"/>
      <c r="D9" s="658"/>
      <c r="E9" s="658"/>
      <c r="F9" s="658"/>
      <c r="G9" s="658"/>
      <c r="H9" s="658"/>
      <c r="I9" s="658"/>
      <c r="J9" s="658"/>
      <c r="K9" s="658"/>
      <c r="L9" s="659"/>
      <c r="M9" s="19"/>
      <c r="N9" s="19"/>
      <c r="O9" s="15"/>
    </row>
    <row r="10" spans="1:16" s="6" customFormat="1" x14ac:dyDescent="0.25">
      <c r="A10" s="4"/>
      <c r="B10" s="657" t="str">
        <f>Pro!B10</f>
        <v xml:space="preserve">Utilisez l'onglet AddPro si vous avez besoin de plus d'espace.
</v>
      </c>
      <c r="C10" s="658"/>
      <c r="D10" s="658"/>
      <c r="E10" s="658"/>
      <c r="F10" s="658"/>
      <c r="G10" s="658"/>
      <c r="H10" s="658"/>
      <c r="I10" s="658"/>
      <c r="J10" s="658"/>
      <c r="K10" s="658"/>
      <c r="L10" s="659"/>
      <c r="M10" s="19"/>
      <c r="N10" s="19"/>
      <c r="O10" s="15"/>
      <c r="P10" s="15"/>
    </row>
    <row r="11" spans="1:16" s="6" customFormat="1" x14ac:dyDescent="0.25">
      <c r="A11" s="4"/>
      <c r="B11" s="157"/>
      <c r="C11" s="158"/>
      <c r="D11" s="155"/>
      <c r="E11" s="155"/>
      <c r="F11" s="155"/>
      <c r="G11" s="155"/>
      <c r="H11" s="155"/>
      <c r="I11" s="155"/>
      <c r="J11" s="155"/>
      <c r="K11" s="155"/>
      <c r="L11" s="156"/>
      <c r="M11" s="19"/>
      <c r="N11" s="19"/>
      <c r="O11" s="15"/>
      <c r="P11" s="15"/>
    </row>
    <row r="12" spans="1:16" s="6" customFormat="1" x14ac:dyDescent="0.25">
      <c r="A12" s="4"/>
      <c r="B12" s="657" t="str">
        <f>Pro!B12</f>
        <v>Pour les questions de cet onglet, notez ce qui suit :</v>
      </c>
      <c r="C12" s="658"/>
      <c r="D12" s="658"/>
      <c r="E12" s="658"/>
      <c r="F12" s="658"/>
      <c r="G12" s="658"/>
      <c r="H12" s="658"/>
      <c r="I12" s="658"/>
      <c r="J12" s="658"/>
      <c r="K12" s="658"/>
      <c r="L12" s="659"/>
      <c r="M12" s="19"/>
      <c r="N12" s="19"/>
      <c r="O12" s="15"/>
      <c r="P12" s="15"/>
    </row>
    <row r="13" spans="1:16" s="6" customFormat="1" ht="28.5" customHeight="1" x14ac:dyDescent="0.25">
      <c r="A13" s="4"/>
      <c r="B13" s="657" t="str">
        <f>Pro!B13</f>
        <v xml:space="preserve">• Veuillez indiquer seulement les ventes effectuées à partir des importations de votre entreprise. Les ventes de marchandises achetées auprès de producteurs canadiens doivent être exclues. </v>
      </c>
      <c r="C13" s="658"/>
      <c r="D13" s="658"/>
      <c r="E13" s="658"/>
      <c r="F13" s="658"/>
      <c r="G13" s="658"/>
      <c r="H13" s="658"/>
      <c r="I13" s="658"/>
      <c r="J13" s="658"/>
      <c r="K13" s="658"/>
      <c r="L13" s="659"/>
      <c r="M13" s="19"/>
      <c r="N13" s="19"/>
      <c r="O13" s="15"/>
      <c r="P13" s="15"/>
    </row>
    <row r="14" spans="1:16" s="6" customFormat="1" x14ac:dyDescent="0.25">
      <c r="A14" s="4"/>
      <c r="B14" s="657" t="str">
        <f>Pro!B14</f>
        <v>• Déclarez toutes les ventes aux entreprises associées canadiennes et étrangères.</v>
      </c>
      <c r="C14" s="658"/>
      <c r="D14" s="658"/>
      <c r="E14" s="658"/>
      <c r="F14" s="658"/>
      <c r="G14" s="658"/>
      <c r="H14" s="658"/>
      <c r="I14" s="658"/>
      <c r="J14" s="658"/>
      <c r="K14" s="658"/>
      <c r="L14" s="659"/>
      <c r="M14" s="19"/>
      <c r="N14" s="19"/>
      <c r="O14" s="15"/>
      <c r="P14" s="15"/>
    </row>
    <row r="15" spans="1:16" s="6" customFormat="1" x14ac:dyDescent="0.25">
      <c r="A15" s="4"/>
      <c r="B15" s="657" t="str">
        <f>Pro!B15</f>
        <v>• Déclarez toutes les ventes à compter de la date de l’expédition au client ou à son entrepôt.</v>
      </c>
      <c r="C15" s="658"/>
      <c r="D15" s="658"/>
      <c r="E15" s="658"/>
      <c r="F15" s="658"/>
      <c r="G15" s="658"/>
      <c r="H15" s="658"/>
      <c r="I15" s="658"/>
      <c r="J15" s="658"/>
      <c r="K15" s="658"/>
      <c r="L15" s="659"/>
      <c r="M15" s="19"/>
      <c r="N15" s="19"/>
      <c r="O15" s="15"/>
      <c r="P15" s="15"/>
    </row>
    <row r="16" spans="1:16" s="6" customFormat="1" x14ac:dyDescent="0.25">
      <c r="A16" s="4"/>
      <c r="B16" s="657" t="str">
        <f>Pro!B16</f>
        <v>• Déclarez toutes les valeurs en dollars canadiens.</v>
      </c>
      <c r="C16" s="658"/>
      <c r="D16" s="658"/>
      <c r="E16" s="658"/>
      <c r="F16" s="658"/>
      <c r="G16" s="658"/>
      <c r="H16" s="658"/>
      <c r="I16" s="658"/>
      <c r="J16" s="658"/>
      <c r="K16" s="658"/>
      <c r="L16" s="659"/>
      <c r="M16" s="19"/>
      <c r="N16" s="19"/>
      <c r="O16" s="15"/>
      <c r="P16" s="15"/>
    </row>
    <row r="17" spans="1:16" s="6" customFormat="1" x14ac:dyDescent="0.25">
      <c r="A17" s="33"/>
      <c r="B17" s="660" t="str">
        <f>'Imp-Aus'!B16</f>
        <v>• Si votre entreprise est un utilisateur final ou un détaillant, elle n’a pas besoin de déclarer ses ventes d’importations ou ses stocks d’importations.</v>
      </c>
      <c r="C17" s="661"/>
      <c r="D17" s="661"/>
      <c r="E17" s="661"/>
      <c r="F17" s="661"/>
      <c r="G17" s="661"/>
      <c r="H17" s="661"/>
      <c r="I17" s="661"/>
      <c r="J17" s="661"/>
      <c r="K17" s="661"/>
      <c r="L17" s="662"/>
      <c r="M17" s="19"/>
      <c r="N17" s="19"/>
      <c r="O17" s="15"/>
      <c r="P17" s="15"/>
    </row>
    <row r="18" spans="1:16" s="6" customFormat="1" x14ac:dyDescent="0.25">
      <c r="A18" s="4"/>
      <c r="B18" s="14"/>
      <c r="C18" s="14"/>
      <c r="D18" s="3"/>
      <c r="E18" s="3"/>
      <c r="F18" s="3"/>
      <c r="G18" s="3"/>
      <c r="H18" s="3"/>
      <c r="I18" s="3"/>
      <c r="J18" s="3"/>
      <c r="K18" s="3"/>
      <c r="L18" s="3"/>
      <c r="O18" s="15"/>
      <c r="P18" s="15"/>
    </row>
    <row r="19" spans="1:16" x14ac:dyDescent="0.25">
      <c r="A19" s="7"/>
      <c r="B19" s="533" t="str">
        <f>IF(Intro!$G$20="English",O19,P19)</f>
        <v>STOCKS ET VENTES À L'EXPORTATION</v>
      </c>
      <c r="C19" s="534"/>
      <c r="D19" s="534"/>
      <c r="E19" s="534"/>
      <c r="F19" s="534"/>
      <c r="G19" s="534"/>
      <c r="H19" s="534"/>
      <c r="I19" s="534"/>
      <c r="J19" s="534"/>
      <c r="K19" s="534"/>
      <c r="L19" s="535"/>
      <c r="M19" s="10"/>
      <c r="O19" s="105" t="s">
        <v>366</v>
      </c>
      <c r="P19" s="105" t="s">
        <v>367</v>
      </c>
    </row>
    <row r="20" spans="1:16" x14ac:dyDescent="0.25">
      <c r="A20" s="7"/>
      <c r="B20" s="671" t="s">
        <v>12</v>
      </c>
      <c r="C20" s="672"/>
      <c r="D20" s="672"/>
      <c r="E20" s="672"/>
      <c r="F20" s="672"/>
      <c r="G20" s="672"/>
      <c r="H20" s="672"/>
      <c r="I20" s="672"/>
      <c r="J20" s="672"/>
      <c r="K20" s="672"/>
      <c r="L20" s="673"/>
      <c r="M20" s="10"/>
    </row>
    <row r="21" spans="1:16" x14ac:dyDescent="0.25">
      <c r="A21" s="7"/>
      <c r="B21" s="16"/>
      <c r="C21" s="35"/>
      <c r="D21" s="36"/>
      <c r="E21" s="36"/>
      <c r="F21" s="36"/>
      <c r="G21" s="36"/>
      <c r="H21" s="36"/>
      <c r="I21" s="36"/>
      <c r="J21" s="36"/>
      <c r="K21" s="36"/>
      <c r="L21" s="17"/>
      <c r="M21" s="10"/>
    </row>
    <row r="22" spans="1:16" x14ac:dyDescent="0.25">
      <c r="A22" s="7"/>
      <c r="B22" s="530" t="str">
        <f>IF(Intro!$G$20="English",O22,P22)</f>
        <v>Fournissez les stocks et ventes à l'exportation des marchandises importées.</v>
      </c>
      <c r="C22" s="531"/>
      <c r="D22" s="531"/>
      <c r="E22" s="531"/>
      <c r="F22" s="531"/>
      <c r="G22" s="531"/>
      <c r="H22" s="531"/>
      <c r="I22" s="531"/>
      <c r="J22" s="531"/>
      <c r="K22" s="531"/>
      <c r="L22" s="532"/>
      <c r="M22" s="10"/>
      <c r="O22" s="18" t="s">
        <v>174</v>
      </c>
      <c r="P22" s="18" t="s">
        <v>85</v>
      </c>
    </row>
    <row r="23" spans="1:16" x14ac:dyDescent="0.25">
      <c r="A23" s="7"/>
      <c r="B23" s="61"/>
      <c r="C23" s="35"/>
      <c r="D23" s="36"/>
      <c r="E23" s="36"/>
      <c r="F23" s="36"/>
      <c r="G23" s="36"/>
      <c r="H23" s="36"/>
      <c r="I23" s="36"/>
      <c r="J23" s="36"/>
      <c r="K23" s="36"/>
      <c r="L23" s="17"/>
      <c r="M23" s="10"/>
      <c r="O23" s="18"/>
    </row>
    <row r="24" spans="1:16" x14ac:dyDescent="0.25">
      <c r="A24" s="7"/>
      <c r="B24" s="61"/>
      <c r="E24" s="35"/>
      <c r="G24" s="724">
        <f>Variables!$B$6</f>
        <v>2023</v>
      </c>
      <c r="H24" s="724">
        <f>G24+1</f>
        <v>2024</v>
      </c>
      <c r="I24" s="724">
        <f>H24+1</f>
        <v>2025</v>
      </c>
      <c r="J24" s="724" t="str">
        <f>IF(Intro!$G$20="English",Variables!B9,Variables!C9)</f>
        <v>janv.-mars 2025</v>
      </c>
      <c r="K24" s="724" t="str">
        <f>IF(Intro!$G$20="English",Variables!B10,Variables!C10)</f>
        <v>janv.-mars 2026</v>
      </c>
      <c r="L24" s="71"/>
      <c r="M24" s="10"/>
      <c r="O24" s="18"/>
    </row>
    <row r="25" spans="1:16" x14ac:dyDescent="0.25">
      <c r="A25" s="7"/>
      <c r="B25" s="113"/>
      <c r="E25" s="35"/>
      <c r="G25" s="724"/>
      <c r="H25" s="724"/>
      <c r="I25" s="724"/>
      <c r="J25" s="724"/>
      <c r="K25" s="724"/>
      <c r="L25" s="71"/>
      <c r="M25" s="10"/>
      <c r="O25" s="18"/>
    </row>
    <row r="26" spans="1:16" x14ac:dyDescent="0.25">
      <c r="A26" s="7"/>
      <c r="B26" s="567" t="str">
        <f>IF(Intro!$G$20="English",O26,P26)</f>
        <v>Stock d'ouverture</v>
      </c>
      <c r="C26" s="568"/>
      <c r="D26" s="804" t="str">
        <f>IF(Intro!$G$20="English",Variables!$B$23,Variables!$C$23)</f>
        <v>tonnes</v>
      </c>
      <c r="E26" s="804"/>
      <c r="F26" s="804"/>
      <c r="G26" s="182"/>
      <c r="H26" s="183">
        <f>G32</f>
        <v>0</v>
      </c>
      <c r="I26" s="183">
        <f>H32</f>
        <v>0</v>
      </c>
      <c r="J26" s="183">
        <f>H32</f>
        <v>0</v>
      </c>
      <c r="K26" s="183">
        <f>I32</f>
        <v>0</v>
      </c>
      <c r="L26" s="71"/>
      <c r="M26" s="10"/>
      <c r="O26" s="10" t="s">
        <v>144</v>
      </c>
      <c r="P26" s="10" t="s">
        <v>145</v>
      </c>
    </row>
    <row r="27" spans="1:16" x14ac:dyDescent="0.25">
      <c r="A27" s="7"/>
      <c r="B27" s="567"/>
      <c r="C27" s="568"/>
      <c r="D27" s="804" t="s">
        <v>238</v>
      </c>
      <c r="E27" s="804"/>
      <c r="F27" s="804"/>
      <c r="G27" s="182"/>
      <c r="H27" s="183">
        <f>G33</f>
        <v>0</v>
      </c>
      <c r="I27" s="183">
        <f>H33</f>
        <v>0</v>
      </c>
      <c r="J27" s="183">
        <f>H33</f>
        <v>0</v>
      </c>
      <c r="K27" s="183">
        <f>I33</f>
        <v>0</v>
      </c>
      <c r="L27" s="71"/>
      <c r="M27" s="10"/>
    </row>
    <row r="28" spans="1:16" ht="15" thickBot="1" x14ac:dyDescent="0.3">
      <c r="A28" s="7"/>
      <c r="B28" s="749"/>
      <c r="C28" s="750"/>
      <c r="D28" s="805" t="str">
        <f>"$ / "&amp;IF(Intro!$G$20="English",Variables!$B$24,Variables!$C$24)</f>
        <v>$ / tonne</v>
      </c>
      <c r="E28" s="805"/>
      <c r="F28" s="805"/>
      <c r="G28" s="184" t="str">
        <f>IF(G26=0,"-",G27/G26)</f>
        <v>-</v>
      </c>
      <c r="H28" s="184" t="str">
        <f>IF(H26=0,"-",H27/H26)</f>
        <v>-</v>
      </c>
      <c r="I28" s="184" t="str">
        <f>IF(I26=0,"-",I27/I26)</f>
        <v>-</v>
      </c>
      <c r="J28" s="184" t="str">
        <f>IF(J26=0,"-",J27/J26)</f>
        <v>-</v>
      </c>
      <c r="K28" s="184" t="str">
        <f>IF(K26=0,"-",K27/K26)</f>
        <v>-</v>
      </c>
      <c r="L28" s="71"/>
      <c r="M28" s="10"/>
    </row>
    <row r="29" spans="1:16" x14ac:dyDescent="0.25">
      <c r="A29" s="7"/>
      <c r="B29" s="751" t="str">
        <f>IF(Intro!$G$20="English",O29,P29)</f>
        <v>Ventes à l'exportation</v>
      </c>
      <c r="C29" s="752"/>
      <c r="D29" s="803" t="str">
        <f>IF(Intro!$G$20="English",Variables!$B$23,Variables!$C$23)</f>
        <v>tonnes</v>
      </c>
      <c r="E29" s="803"/>
      <c r="F29" s="803"/>
      <c r="G29" s="185"/>
      <c r="H29" s="185"/>
      <c r="I29" s="185"/>
      <c r="J29" s="185"/>
      <c r="K29" s="185"/>
      <c r="L29" s="71"/>
      <c r="M29" s="10"/>
      <c r="O29" s="10" t="s">
        <v>265</v>
      </c>
      <c r="P29" s="10" t="s">
        <v>146</v>
      </c>
    </row>
    <row r="30" spans="1:16" x14ac:dyDescent="0.25">
      <c r="A30" s="7"/>
      <c r="B30" s="567"/>
      <c r="C30" s="568"/>
      <c r="D30" s="804" t="str">
        <f>'Imp-Aus'!D32</f>
        <v>valeur de vente nette rendue (CAD)</v>
      </c>
      <c r="E30" s="804"/>
      <c r="F30" s="804"/>
      <c r="G30" s="182"/>
      <c r="H30" s="182"/>
      <c r="I30" s="182"/>
      <c r="J30" s="182"/>
      <c r="K30" s="182"/>
      <c r="L30" s="71"/>
      <c r="M30" s="10"/>
    </row>
    <row r="31" spans="1:16" ht="15" thickBot="1" x14ac:dyDescent="0.3">
      <c r="A31" s="7"/>
      <c r="B31" s="749"/>
      <c r="C31" s="750"/>
      <c r="D31" s="805" t="str">
        <f>"$ / "&amp;IF(Intro!$G$20="English",Variables!$B$24,Variables!$C$24)</f>
        <v>$ / tonne</v>
      </c>
      <c r="E31" s="805"/>
      <c r="F31" s="805"/>
      <c r="G31" s="184" t="str">
        <f>IF(G29=0,"-",G30/G29)</f>
        <v>-</v>
      </c>
      <c r="H31" s="184" t="str">
        <f>IF(H29=0,"-",H30/H29)</f>
        <v>-</v>
      </c>
      <c r="I31" s="184" t="str">
        <f t="shared" ref="I31:J31" si="0">IF(I29=0,"-",I30/I29)</f>
        <v>-</v>
      </c>
      <c r="J31" s="184" t="str">
        <f t="shared" si="0"/>
        <v>-</v>
      </c>
      <c r="K31" s="184" t="str">
        <f t="shared" ref="K31" si="1">IF(K29=0,"-",K30/K29)</f>
        <v>-</v>
      </c>
      <c r="L31" s="71"/>
      <c r="M31" s="10"/>
    </row>
    <row r="32" spans="1:16" x14ac:dyDescent="0.25">
      <c r="A32" s="7"/>
      <c r="B32" s="597" t="str">
        <f>IF(Intro!$G$20="English",O32,P32)</f>
        <v>Stock de clôture</v>
      </c>
      <c r="C32" s="598"/>
      <c r="D32" s="806" t="str">
        <f>IF(Intro!$G$20="English",Variables!$B$23,Variables!$C$23)</f>
        <v>tonnes</v>
      </c>
      <c r="E32" s="806"/>
      <c r="F32" s="806"/>
      <c r="G32" s="186"/>
      <c r="H32" s="186"/>
      <c r="I32" s="186"/>
      <c r="J32" s="186"/>
      <c r="K32" s="186"/>
      <c r="L32" s="71"/>
      <c r="M32" s="10"/>
      <c r="O32" s="10" t="s">
        <v>147</v>
      </c>
      <c r="P32" s="10" t="s">
        <v>403</v>
      </c>
    </row>
    <row r="33" spans="1:16" x14ac:dyDescent="0.25">
      <c r="A33" s="7"/>
      <c r="B33" s="567"/>
      <c r="C33" s="568"/>
      <c r="D33" s="804" t="s">
        <v>238</v>
      </c>
      <c r="E33" s="804"/>
      <c r="F33" s="804"/>
      <c r="G33" s="182"/>
      <c r="H33" s="182"/>
      <c r="I33" s="182"/>
      <c r="J33" s="182"/>
      <c r="K33" s="182"/>
      <c r="L33" s="71"/>
      <c r="M33" s="10"/>
    </row>
    <row r="34" spans="1:16" x14ac:dyDescent="0.25">
      <c r="A34" s="7"/>
      <c r="B34" s="567"/>
      <c r="C34" s="568"/>
      <c r="D34" s="804" t="str">
        <f>"$ / "&amp;IF(Intro!$G$20="English",Variables!$B$24,Variables!$C$24)</f>
        <v>$ / tonne</v>
      </c>
      <c r="E34" s="804"/>
      <c r="F34" s="804"/>
      <c r="G34" s="183" t="str">
        <f>IF(G32=0,"-",G33/G32)</f>
        <v>-</v>
      </c>
      <c r="H34" s="183" t="str">
        <f t="shared" ref="H34:I34" si="2">IF(H32=0,"-",H33/H32)</f>
        <v>-</v>
      </c>
      <c r="I34" s="183" t="str">
        <f t="shared" si="2"/>
        <v>-</v>
      </c>
      <c r="J34" s="183" t="str">
        <f t="shared" ref="J34:K34" si="3">IF(J32=0,"-",J33/J32)</f>
        <v>-</v>
      </c>
      <c r="K34" s="183" t="str">
        <f t="shared" si="3"/>
        <v>-</v>
      </c>
      <c r="L34" s="71"/>
      <c r="M34" s="10"/>
    </row>
    <row r="35" spans="1:16" x14ac:dyDescent="0.25">
      <c r="A35" s="7"/>
      <c r="B35" s="72"/>
      <c r="C35" s="69"/>
      <c r="D35" s="69"/>
      <c r="E35" s="69"/>
      <c r="F35" s="69"/>
      <c r="G35" s="69"/>
      <c r="H35" s="69"/>
      <c r="I35" s="69"/>
      <c r="J35" s="69"/>
      <c r="K35" s="69"/>
      <c r="L35" s="70"/>
      <c r="M35" s="10"/>
    </row>
    <row r="36" spans="1:16" s="11" customFormat="1" x14ac:dyDescent="0.25">
      <c r="A36" s="7"/>
      <c r="B36" s="674" t="s">
        <v>15</v>
      </c>
      <c r="C36" s="675"/>
      <c r="D36" s="675"/>
      <c r="E36" s="675"/>
      <c r="F36" s="675"/>
      <c r="G36" s="675"/>
      <c r="H36" s="675"/>
      <c r="I36" s="675"/>
      <c r="J36" s="675"/>
      <c r="K36" s="675"/>
      <c r="L36" s="676"/>
      <c r="M36" s="73"/>
      <c r="O36" s="10"/>
    </row>
    <row r="37" spans="1:16" x14ac:dyDescent="0.25">
      <c r="A37" s="7"/>
      <c r="B37" s="74"/>
      <c r="C37" s="75"/>
      <c r="D37" s="75"/>
      <c r="E37" s="75"/>
      <c r="F37" s="75"/>
      <c r="G37" s="75"/>
      <c r="H37" s="75"/>
      <c r="I37" s="75"/>
      <c r="J37" s="75"/>
      <c r="K37" s="75"/>
      <c r="L37" s="58"/>
      <c r="M37" s="10"/>
    </row>
    <row r="38" spans="1:16" ht="14.1" customHeight="1" x14ac:dyDescent="0.25">
      <c r="A38" s="7"/>
      <c r="B38" s="527" t="str">
        <f>IF(Intro!$G$20="English",O38,P38)</f>
        <v>En utilisant les données fournies à la question 1 dans les onglets des pays avec les données fournies à la question 1 sur l'onglet Invent-Stock, le questionnaire calcule le stock de clôture comme suit :</v>
      </c>
      <c r="C38" s="528"/>
      <c r="D38" s="528"/>
      <c r="E38" s="528"/>
      <c r="F38" s="528"/>
      <c r="G38" s="528"/>
      <c r="H38" s="528"/>
      <c r="I38" s="528"/>
      <c r="J38" s="528"/>
      <c r="K38" s="528"/>
      <c r="L38" s="529"/>
      <c r="M38" s="10"/>
      <c r="O38" s="10" t="s">
        <v>415</v>
      </c>
      <c r="P38" s="10" t="s">
        <v>416</v>
      </c>
    </row>
    <row r="39" spans="1:16" x14ac:dyDescent="0.25">
      <c r="A39" s="7"/>
      <c r="B39" s="74"/>
      <c r="C39" s="75"/>
      <c r="D39" s="75"/>
      <c r="E39" s="75"/>
      <c r="F39" s="75"/>
      <c r="G39" s="75"/>
      <c r="H39" s="75"/>
      <c r="I39" s="75"/>
      <c r="J39" s="75"/>
      <c r="K39" s="75"/>
      <c r="L39" s="58"/>
      <c r="M39" s="10"/>
    </row>
    <row r="40" spans="1:16" x14ac:dyDescent="0.25">
      <c r="A40" s="7"/>
      <c r="B40" s="61"/>
      <c r="E40" s="35"/>
      <c r="G40" s="724">
        <f>Variables!$B$6</f>
        <v>2023</v>
      </c>
      <c r="H40" s="724">
        <f>G40+1</f>
        <v>2024</v>
      </c>
      <c r="I40" s="724">
        <f>H40+1</f>
        <v>2025</v>
      </c>
      <c r="J40" s="724" t="str">
        <f>J24</f>
        <v>janv.-mars 2025</v>
      </c>
      <c r="K40" s="724" t="str">
        <f>K24</f>
        <v>janv.-mars 2026</v>
      </c>
      <c r="L40" s="71"/>
      <c r="M40" s="10"/>
      <c r="O40" s="18"/>
    </row>
    <row r="41" spans="1:16" x14ac:dyDescent="0.25">
      <c r="A41" s="7"/>
      <c r="B41" s="113"/>
      <c r="E41" s="35"/>
      <c r="G41" s="724"/>
      <c r="H41" s="724"/>
      <c r="I41" s="724"/>
      <c r="J41" s="724"/>
      <c r="K41" s="724"/>
      <c r="L41" s="71"/>
      <c r="M41" s="10"/>
      <c r="O41" s="18"/>
    </row>
    <row r="42" spans="1:16" x14ac:dyDescent="0.25">
      <c r="A42" s="7"/>
      <c r="B42" s="567" t="str">
        <f>B32</f>
        <v>Stock de clôture</v>
      </c>
      <c r="C42" s="568"/>
      <c r="D42" s="568"/>
      <c r="E42" s="802" t="str">
        <f>IF(Intro!$G$20="English",Variables!$B$23,Variables!$C$23)</f>
        <v>tonnes</v>
      </c>
      <c r="F42" s="802"/>
      <c r="G42" s="180">
        <f>G26+SUM('Begin:End2'!G26)-SUM('Begin:End2'!G44)-G29</f>
        <v>0</v>
      </c>
      <c r="H42" s="180">
        <f>H26+SUM('Begin:End2'!H26)-SUM('Begin:End2'!H44)-H29</f>
        <v>0</v>
      </c>
      <c r="I42" s="180">
        <f>I26+SUM('Begin:End2'!I26)-SUM('Begin:End2'!I44)-I29</f>
        <v>0</v>
      </c>
      <c r="J42" s="180">
        <f>J26+SUM('Begin:End2'!J26)-SUM('Begin:End2'!J44)-J29</f>
        <v>0</v>
      </c>
      <c r="K42" s="180">
        <f>K26+SUM('Begin:End2'!K26)-SUM('Begin:End2'!K44)-K29</f>
        <v>0</v>
      </c>
      <c r="L42" s="71"/>
      <c r="M42" s="10"/>
    </row>
    <row r="43" spans="1:16" ht="14.1" customHeight="1" x14ac:dyDescent="0.25">
      <c r="A43" s="7"/>
      <c r="B43" s="567" t="str">
        <f>IF(Intro!$G$20="English",O43,P43)</f>
        <v>Différence entre le stock de clôture à la question 1 dans l'onglet Invent-Stock et le stock de clôture calculé</v>
      </c>
      <c r="C43" s="568"/>
      <c r="D43" s="568"/>
      <c r="E43" s="802" t="str">
        <f>IF(Intro!$G$20="English",Variables!$B$23,Variables!$C$23)</f>
        <v>tonnes</v>
      </c>
      <c r="F43" s="802"/>
      <c r="G43" s="801">
        <f>G32-G42</f>
        <v>0</v>
      </c>
      <c r="H43" s="801">
        <f>H32-H42</f>
        <v>0</v>
      </c>
      <c r="I43" s="801">
        <f>I32-I42</f>
        <v>0</v>
      </c>
      <c r="J43" s="801">
        <f>J32-J42</f>
        <v>0</v>
      </c>
      <c r="K43" s="801">
        <f>K32-K42</f>
        <v>0</v>
      </c>
      <c r="L43" s="71"/>
      <c r="M43" s="10"/>
      <c r="O43" s="10" t="s">
        <v>196</v>
      </c>
      <c r="P43" s="10" t="s">
        <v>266</v>
      </c>
    </row>
    <row r="44" spans="1:16" x14ac:dyDescent="0.25">
      <c r="A44" s="7"/>
      <c r="B44" s="567"/>
      <c r="C44" s="568"/>
      <c r="D44" s="568"/>
      <c r="E44" s="802"/>
      <c r="F44" s="802"/>
      <c r="G44" s="801"/>
      <c r="H44" s="801"/>
      <c r="I44" s="801"/>
      <c r="J44" s="801"/>
      <c r="K44" s="801"/>
      <c r="L44" s="71"/>
      <c r="M44" s="10"/>
    </row>
    <row r="45" spans="1:16" x14ac:dyDescent="0.25">
      <c r="A45" s="7"/>
      <c r="B45" s="567"/>
      <c r="C45" s="568"/>
      <c r="D45" s="568"/>
      <c r="E45" s="802"/>
      <c r="F45" s="802"/>
      <c r="G45" s="801"/>
      <c r="H45" s="801"/>
      <c r="I45" s="801"/>
      <c r="J45" s="801"/>
      <c r="K45" s="801"/>
      <c r="L45" s="71"/>
      <c r="M45" s="10"/>
    </row>
    <row r="46" spans="1:16" x14ac:dyDescent="0.25">
      <c r="A46" s="7"/>
      <c r="B46" s="74"/>
      <c r="C46" s="75"/>
      <c r="D46" s="75"/>
      <c r="E46" s="75"/>
      <c r="F46" s="75"/>
      <c r="G46" s="75"/>
      <c r="H46" s="75"/>
      <c r="I46" s="75"/>
      <c r="J46" s="75"/>
      <c r="K46" s="75"/>
      <c r="L46" s="58"/>
      <c r="M46" s="10"/>
    </row>
    <row r="47" spans="1:16" x14ac:dyDescent="0.25">
      <c r="A47" s="7"/>
      <c r="B47" s="654" t="str">
        <f>IF(Intro!$G$20="English",O47,P47)</f>
        <v>Si le volume du stock de clôture à la question 1 dans l'onglet Invent-Stock diffère du stock de clôture calculé, expliquez pourquoi il y a une différence.</v>
      </c>
      <c r="C47" s="655"/>
      <c r="D47" s="655"/>
      <c r="E47" s="655"/>
      <c r="F47" s="655"/>
      <c r="G47" s="655"/>
      <c r="H47" s="655"/>
      <c r="I47" s="655"/>
      <c r="J47" s="655"/>
      <c r="K47" s="655"/>
      <c r="L47" s="656"/>
      <c r="M47" s="10"/>
      <c r="O47" s="27" t="s">
        <v>175</v>
      </c>
      <c r="P47" s="10" t="s">
        <v>267</v>
      </c>
    </row>
    <row r="48" spans="1:16" x14ac:dyDescent="0.25">
      <c r="A48" s="7"/>
      <c r="B48" s="74"/>
      <c r="C48" s="75"/>
      <c r="D48" s="75"/>
      <c r="E48" s="75"/>
      <c r="F48" s="75"/>
      <c r="G48" s="75"/>
      <c r="H48" s="75"/>
      <c r="I48" s="75"/>
      <c r="J48" s="75"/>
      <c r="K48" s="75"/>
      <c r="L48" s="58"/>
      <c r="M48" s="10"/>
    </row>
    <row r="49" spans="1:16" s="11" customFormat="1" x14ac:dyDescent="0.25">
      <c r="A49" s="7"/>
      <c r="B49" s="663"/>
      <c r="C49" s="664"/>
      <c r="D49" s="664"/>
      <c r="E49" s="664"/>
      <c r="F49" s="664"/>
      <c r="G49" s="664"/>
      <c r="H49" s="664"/>
      <c r="I49" s="664"/>
      <c r="J49" s="664"/>
      <c r="K49" s="664"/>
      <c r="L49" s="665"/>
      <c r="M49" s="38"/>
    </row>
    <row r="50" spans="1:16" s="11" customFormat="1" x14ac:dyDescent="0.25">
      <c r="A50" s="7"/>
      <c r="B50" s="663"/>
      <c r="C50" s="664"/>
      <c r="D50" s="664"/>
      <c r="E50" s="664"/>
      <c r="F50" s="664"/>
      <c r="G50" s="664"/>
      <c r="H50" s="664"/>
      <c r="I50" s="664"/>
      <c r="J50" s="664"/>
      <c r="K50" s="664"/>
      <c r="L50" s="665"/>
      <c r="M50" s="38"/>
    </row>
    <row r="51" spans="1:16" s="11" customFormat="1" x14ac:dyDescent="0.25">
      <c r="A51" s="7"/>
      <c r="B51" s="663"/>
      <c r="C51" s="664"/>
      <c r="D51" s="664"/>
      <c r="E51" s="664"/>
      <c r="F51" s="664"/>
      <c r="G51" s="664"/>
      <c r="H51" s="664"/>
      <c r="I51" s="664"/>
      <c r="J51" s="664"/>
      <c r="K51" s="664"/>
      <c r="L51" s="665"/>
      <c r="M51" s="38"/>
    </row>
    <row r="52" spans="1:16" s="11" customFormat="1" x14ac:dyDescent="0.25">
      <c r="A52" s="7"/>
      <c r="B52" s="663"/>
      <c r="C52" s="664"/>
      <c r="D52" s="664"/>
      <c r="E52" s="664"/>
      <c r="F52" s="664"/>
      <c r="G52" s="664"/>
      <c r="H52" s="664"/>
      <c r="I52" s="664"/>
      <c r="J52" s="664"/>
      <c r="K52" s="664"/>
      <c r="L52" s="665"/>
      <c r="M52" s="38"/>
    </row>
    <row r="53" spans="1:16" s="11" customFormat="1" x14ac:dyDescent="0.25">
      <c r="A53" s="7"/>
      <c r="B53" s="663"/>
      <c r="C53" s="664"/>
      <c r="D53" s="664"/>
      <c r="E53" s="664"/>
      <c r="F53" s="664"/>
      <c r="G53" s="664"/>
      <c r="H53" s="664"/>
      <c r="I53" s="664"/>
      <c r="J53" s="664"/>
      <c r="K53" s="664"/>
      <c r="L53" s="665"/>
      <c r="M53" s="38"/>
    </row>
    <row r="54" spans="1:16" s="11" customFormat="1" x14ac:dyDescent="0.25">
      <c r="A54" s="7"/>
      <c r="B54" s="663"/>
      <c r="C54" s="664"/>
      <c r="D54" s="664"/>
      <c r="E54" s="664"/>
      <c r="F54" s="664"/>
      <c r="G54" s="664"/>
      <c r="H54" s="664"/>
      <c r="I54" s="664"/>
      <c r="J54" s="664"/>
      <c r="K54" s="664"/>
      <c r="L54" s="665"/>
      <c r="M54" s="38"/>
    </row>
    <row r="55" spans="1:16" s="11" customFormat="1" x14ac:dyDescent="0.25">
      <c r="A55" s="7"/>
      <c r="B55" s="663"/>
      <c r="C55" s="664"/>
      <c r="D55" s="664"/>
      <c r="E55" s="664"/>
      <c r="F55" s="664"/>
      <c r="G55" s="664"/>
      <c r="H55" s="664"/>
      <c r="I55" s="664"/>
      <c r="J55" s="664"/>
      <c r="K55" s="664"/>
      <c r="L55" s="665"/>
      <c r="M55" s="38"/>
    </row>
    <row r="56" spans="1:16" s="11" customFormat="1" x14ac:dyDescent="0.25">
      <c r="A56" s="7"/>
      <c r="B56" s="663"/>
      <c r="C56" s="664"/>
      <c r="D56" s="664"/>
      <c r="E56" s="664"/>
      <c r="F56" s="664"/>
      <c r="G56" s="664"/>
      <c r="H56" s="664"/>
      <c r="I56" s="664"/>
      <c r="J56" s="664"/>
      <c r="K56" s="664"/>
      <c r="L56" s="665"/>
      <c r="M56" s="38"/>
    </row>
    <row r="57" spans="1:16" x14ac:dyDescent="0.25">
      <c r="A57" s="7"/>
      <c r="B57" s="72"/>
      <c r="C57" s="69"/>
      <c r="D57" s="69"/>
      <c r="E57" s="69"/>
      <c r="F57" s="69"/>
      <c r="G57" s="69"/>
      <c r="H57" s="69"/>
      <c r="I57" s="69"/>
      <c r="J57" s="69"/>
      <c r="K57" s="69"/>
      <c r="L57" s="70"/>
      <c r="M57" s="10"/>
    </row>
    <row r="58" spans="1:16" s="11" customFormat="1" x14ac:dyDescent="0.25">
      <c r="A58" s="7"/>
      <c r="B58" s="674" t="s">
        <v>16</v>
      </c>
      <c r="C58" s="675"/>
      <c r="D58" s="675"/>
      <c r="E58" s="675"/>
      <c r="F58" s="675"/>
      <c r="G58" s="675"/>
      <c r="H58" s="675"/>
      <c r="I58" s="675"/>
      <c r="J58" s="675"/>
      <c r="K58" s="675"/>
      <c r="L58" s="676"/>
      <c r="M58" s="73"/>
    </row>
    <row r="59" spans="1:16" x14ac:dyDescent="0.25">
      <c r="A59" s="7"/>
      <c r="B59" s="74"/>
      <c r="C59" s="75"/>
      <c r="D59" s="75"/>
      <c r="E59" s="75"/>
      <c r="F59" s="75"/>
      <c r="G59" s="75"/>
      <c r="H59" s="75"/>
      <c r="I59" s="75"/>
      <c r="J59" s="75"/>
      <c r="K59" s="75"/>
      <c r="L59" s="58"/>
      <c r="M59" s="10"/>
    </row>
    <row r="60" spans="1:16" x14ac:dyDescent="0.25">
      <c r="A60" s="7"/>
      <c r="B60" s="527" t="str">
        <f>IF(Intro!$G$20="English",O60,P60)</f>
        <v>Décrivez comment votre entreprise détermine la valeur des stocks. Fournissez tout changement dans la méthode d'évaluation des stocks ou toute réduction importante de la valeur comptabilisée des stocks depuis le 1er janvier 2023.</v>
      </c>
      <c r="C60" s="528"/>
      <c r="D60" s="528"/>
      <c r="E60" s="528"/>
      <c r="F60" s="528"/>
      <c r="G60" s="528"/>
      <c r="H60" s="528"/>
      <c r="I60" s="528"/>
      <c r="J60" s="528"/>
      <c r="K60" s="528"/>
      <c r="L60" s="529"/>
      <c r="M60" s="10"/>
      <c r="O60"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60"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61" spans="1:16" x14ac:dyDescent="0.25">
      <c r="A61" s="7"/>
      <c r="B61" s="527"/>
      <c r="C61" s="528"/>
      <c r="D61" s="528"/>
      <c r="E61" s="528"/>
      <c r="F61" s="528"/>
      <c r="G61" s="528"/>
      <c r="H61" s="528"/>
      <c r="I61" s="528"/>
      <c r="J61" s="528"/>
      <c r="K61" s="528"/>
      <c r="L61" s="529"/>
      <c r="M61" s="10"/>
    </row>
    <row r="62" spans="1:16" x14ac:dyDescent="0.25">
      <c r="A62" s="7"/>
      <c r="B62" s="74"/>
      <c r="C62" s="75"/>
      <c r="D62" s="75"/>
      <c r="E62" s="75"/>
      <c r="F62" s="75"/>
      <c r="G62" s="75"/>
      <c r="H62" s="75"/>
      <c r="I62" s="75"/>
      <c r="J62" s="75"/>
      <c r="K62" s="75"/>
      <c r="L62" s="58"/>
      <c r="M62" s="10"/>
    </row>
    <row r="63" spans="1:16" s="11" customFormat="1" x14ac:dyDescent="0.25">
      <c r="A63" s="7"/>
      <c r="B63" s="663"/>
      <c r="C63" s="664"/>
      <c r="D63" s="664"/>
      <c r="E63" s="664"/>
      <c r="F63" s="664"/>
      <c r="G63" s="664"/>
      <c r="H63" s="664"/>
      <c r="I63" s="664"/>
      <c r="J63" s="664"/>
      <c r="K63" s="664"/>
      <c r="L63" s="665"/>
      <c r="M63" s="38"/>
    </row>
    <row r="64" spans="1:16" s="11" customFormat="1" x14ac:dyDescent="0.25">
      <c r="A64" s="7"/>
      <c r="B64" s="663"/>
      <c r="C64" s="664"/>
      <c r="D64" s="664"/>
      <c r="E64" s="664"/>
      <c r="F64" s="664"/>
      <c r="G64" s="664"/>
      <c r="H64" s="664"/>
      <c r="I64" s="664"/>
      <c r="J64" s="664"/>
      <c r="K64" s="664"/>
      <c r="L64" s="665"/>
      <c r="M64" s="38"/>
    </row>
    <row r="65" spans="1:16" s="11" customFormat="1" x14ac:dyDescent="0.25">
      <c r="A65" s="7"/>
      <c r="B65" s="663"/>
      <c r="C65" s="664"/>
      <c r="D65" s="664"/>
      <c r="E65" s="664"/>
      <c r="F65" s="664"/>
      <c r="G65" s="664"/>
      <c r="H65" s="664"/>
      <c r="I65" s="664"/>
      <c r="J65" s="664"/>
      <c r="K65" s="664"/>
      <c r="L65" s="665"/>
      <c r="M65" s="38"/>
    </row>
    <row r="66" spans="1:16" s="11" customFormat="1" x14ac:dyDescent="0.25">
      <c r="A66" s="7"/>
      <c r="B66" s="663"/>
      <c r="C66" s="664"/>
      <c r="D66" s="664"/>
      <c r="E66" s="664"/>
      <c r="F66" s="664"/>
      <c r="G66" s="664"/>
      <c r="H66" s="664"/>
      <c r="I66" s="664"/>
      <c r="J66" s="664"/>
      <c r="K66" s="664"/>
      <c r="L66" s="665"/>
      <c r="M66" s="38"/>
    </row>
    <row r="67" spans="1:16" s="11" customFormat="1" x14ac:dyDescent="0.25">
      <c r="A67" s="7"/>
      <c r="B67" s="663"/>
      <c r="C67" s="664"/>
      <c r="D67" s="664"/>
      <c r="E67" s="664"/>
      <c r="F67" s="664"/>
      <c r="G67" s="664"/>
      <c r="H67" s="664"/>
      <c r="I67" s="664"/>
      <c r="J67" s="664"/>
      <c r="K67" s="664"/>
      <c r="L67" s="665"/>
      <c r="M67" s="38"/>
    </row>
    <row r="68" spans="1:16" s="11" customFormat="1" x14ac:dyDescent="0.25">
      <c r="A68" s="7"/>
      <c r="B68" s="663"/>
      <c r="C68" s="664"/>
      <c r="D68" s="664"/>
      <c r="E68" s="664"/>
      <c r="F68" s="664"/>
      <c r="G68" s="664"/>
      <c r="H68" s="664"/>
      <c r="I68" s="664"/>
      <c r="J68" s="664"/>
      <c r="K68" s="664"/>
      <c r="L68" s="665"/>
      <c r="M68" s="38"/>
    </row>
    <row r="69" spans="1:16" s="11" customFormat="1" x14ac:dyDescent="0.25">
      <c r="A69" s="7"/>
      <c r="B69" s="663"/>
      <c r="C69" s="664"/>
      <c r="D69" s="664"/>
      <c r="E69" s="664"/>
      <c r="F69" s="664"/>
      <c r="G69" s="664"/>
      <c r="H69" s="664"/>
      <c r="I69" s="664"/>
      <c r="J69" s="664"/>
      <c r="K69" s="664"/>
      <c r="L69" s="665"/>
      <c r="M69" s="38"/>
    </row>
    <row r="70" spans="1:16" s="11" customFormat="1" x14ac:dyDescent="0.25">
      <c r="A70" s="7"/>
      <c r="B70" s="663"/>
      <c r="C70" s="664"/>
      <c r="D70" s="664"/>
      <c r="E70" s="664"/>
      <c r="F70" s="664"/>
      <c r="G70" s="664"/>
      <c r="H70" s="664"/>
      <c r="I70" s="664"/>
      <c r="J70" s="664"/>
      <c r="K70" s="664"/>
      <c r="L70" s="665"/>
      <c r="M70" s="38"/>
    </row>
    <row r="71" spans="1:16" x14ac:dyDescent="0.25">
      <c r="A71" s="7"/>
      <c r="B71" s="72"/>
      <c r="C71" s="69"/>
      <c r="D71" s="69"/>
      <c r="E71" s="69"/>
      <c r="F71" s="69"/>
      <c r="G71" s="69"/>
      <c r="H71" s="69"/>
      <c r="I71" s="69"/>
      <c r="J71" s="69"/>
      <c r="K71" s="69"/>
      <c r="L71" s="70"/>
      <c r="M71" s="10"/>
    </row>
    <row r="72" spans="1:16" s="11" customFormat="1" x14ac:dyDescent="0.25">
      <c r="A72" s="7"/>
      <c r="B72" s="674" t="s">
        <v>17</v>
      </c>
      <c r="C72" s="675"/>
      <c r="D72" s="675"/>
      <c r="E72" s="675"/>
      <c r="F72" s="675"/>
      <c r="G72" s="675"/>
      <c r="H72" s="675"/>
      <c r="I72" s="675"/>
      <c r="J72" s="675"/>
      <c r="K72" s="675"/>
      <c r="L72" s="676"/>
      <c r="M72" s="73"/>
    </row>
    <row r="73" spans="1:16" x14ac:dyDescent="0.25">
      <c r="A73" s="7"/>
      <c r="B73" s="74"/>
      <c r="C73" s="75"/>
      <c r="D73" s="75"/>
      <c r="E73" s="75"/>
      <c r="F73" s="75"/>
      <c r="G73" s="75"/>
      <c r="H73" s="75"/>
      <c r="I73" s="75"/>
      <c r="J73" s="75"/>
      <c r="K73" s="75"/>
      <c r="L73" s="58"/>
      <c r="M73" s="10"/>
    </row>
    <row r="74" spans="1:16" x14ac:dyDescent="0.25">
      <c r="A74" s="7"/>
      <c r="B74" s="527" t="str">
        <f>IF(Intro!$G$20="English",O74,P74)</f>
        <v>Décrivez tout changement dans le volume des stocks des marchandises maintenus par votre entreprise depuis le 1er janvier 2023 et indiquez si ces changements ont eu une incidence quelconque sur la capacité de votre entreprise à fournir ses clients.</v>
      </c>
      <c r="C74" s="528"/>
      <c r="D74" s="528"/>
      <c r="E74" s="528"/>
      <c r="F74" s="528"/>
      <c r="G74" s="528"/>
      <c r="H74" s="528"/>
      <c r="I74" s="528"/>
      <c r="J74" s="528"/>
      <c r="K74" s="528"/>
      <c r="L74" s="529"/>
      <c r="M74" s="10"/>
      <c r="O74"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74"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75" spans="1:16" x14ac:dyDescent="0.25">
      <c r="A75" s="7"/>
      <c r="B75" s="527"/>
      <c r="C75" s="528"/>
      <c r="D75" s="528"/>
      <c r="E75" s="528"/>
      <c r="F75" s="528"/>
      <c r="G75" s="528"/>
      <c r="H75" s="528"/>
      <c r="I75" s="528"/>
      <c r="J75" s="528"/>
      <c r="K75" s="528"/>
      <c r="L75" s="529"/>
      <c r="M75" s="10"/>
    </row>
    <row r="76" spans="1:16" x14ac:dyDescent="0.25">
      <c r="A76" s="7"/>
      <c r="B76" s="74"/>
      <c r="C76" s="75"/>
      <c r="D76" s="75"/>
      <c r="E76" s="75"/>
      <c r="F76" s="75"/>
      <c r="G76" s="75"/>
      <c r="H76" s="75"/>
      <c r="I76" s="75"/>
      <c r="J76" s="75"/>
      <c r="K76" s="75"/>
      <c r="L76" s="58"/>
      <c r="M76" s="10"/>
    </row>
    <row r="77" spans="1:16" s="11" customFormat="1" x14ac:dyDescent="0.25">
      <c r="A77" s="7"/>
      <c r="B77" s="663"/>
      <c r="C77" s="664"/>
      <c r="D77" s="664"/>
      <c r="E77" s="664"/>
      <c r="F77" s="664"/>
      <c r="G77" s="664"/>
      <c r="H77" s="664"/>
      <c r="I77" s="664"/>
      <c r="J77" s="664"/>
      <c r="K77" s="664"/>
      <c r="L77" s="665"/>
      <c r="M77" s="38"/>
    </row>
    <row r="78" spans="1:16" s="11" customFormat="1" x14ac:dyDescent="0.25">
      <c r="A78" s="7"/>
      <c r="B78" s="663"/>
      <c r="C78" s="664"/>
      <c r="D78" s="664"/>
      <c r="E78" s="664"/>
      <c r="F78" s="664"/>
      <c r="G78" s="664"/>
      <c r="H78" s="664"/>
      <c r="I78" s="664"/>
      <c r="J78" s="664"/>
      <c r="K78" s="664"/>
      <c r="L78" s="665"/>
      <c r="M78" s="38"/>
    </row>
    <row r="79" spans="1:16" s="11" customFormat="1" x14ac:dyDescent="0.25">
      <c r="A79" s="7"/>
      <c r="B79" s="663"/>
      <c r="C79" s="664"/>
      <c r="D79" s="664"/>
      <c r="E79" s="664"/>
      <c r="F79" s="664"/>
      <c r="G79" s="664"/>
      <c r="H79" s="664"/>
      <c r="I79" s="664"/>
      <c r="J79" s="664"/>
      <c r="K79" s="664"/>
      <c r="L79" s="665"/>
      <c r="M79" s="38"/>
    </row>
    <row r="80" spans="1:16" s="11" customFormat="1" x14ac:dyDescent="0.25">
      <c r="A80" s="7"/>
      <c r="B80" s="663"/>
      <c r="C80" s="664"/>
      <c r="D80" s="664"/>
      <c r="E80" s="664"/>
      <c r="F80" s="664"/>
      <c r="G80" s="664"/>
      <c r="H80" s="664"/>
      <c r="I80" s="664"/>
      <c r="J80" s="664"/>
      <c r="K80" s="664"/>
      <c r="L80" s="665"/>
      <c r="M80" s="38"/>
    </row>
    <row r="81" spans="1:16" s="11" customFormat="1" x14ac:dyDescent="0.25">
      <c r="A81" s="7"/>
      <c r="B81" s="663"/>
      <c r="C81" s="664"/>
      <c r="D81" s="664"/>
      <c r="E81" s="664"/>
      <c r="F81" s="664"/>
      <c r="G81" s="664"/>
      <c r="H81" s="664"/>
      <c r="I81" s="664"/>
      <c r="J81" s="664"/>
      <c r="K81" s="664"/>
      <c r="L81" s="665"/>
      <c r="M81" s="38"/>
    </row>
    <row r="82" spans="1:16" s="11" customFormat="1" x14ac:dyDescent="0.25">
      <c r="A82" s="7"/>
      <c r="B82" s="663"/>
      <c r="C82" s="664"/>
      <c r="D82" s="664"/>
      <c r="E82" s="664"/>
      <c r="F82" s="664"/>
      <c r="G82" s="664"/>
      <c r="H82" s="664"/>
      <c r="I82" s="664"/>
      <c r="J82" s="664"/>
      <c r="K82" s="664"/>
      <c r="L82" s="665"/>
      <c r="M82" s="38"/>
    </row>
    <row r="83" spans="1:16" s="11" customFormat="1" x14ac:dyDescent="0.25">
      <c r="A83" s="7"/>
      <c r="B83" s="663"/>
      <c r="C83" s="664"/>
      <c r="D83" s="664"/>
      <c r="E83" s="664"/>
      <c r="F83" s="664"/>
      <c r="G83" s="664"/>
      <c r="H83" s="664"/>
      <c r="I83" s="664"/>
      <c r="J83" s="664"/>
      <c r="K83" s="664"/>
      <c r="L83" s="665"/>
      <c r="M83" s="38"/>
    </row>
    <row r="84" spans="1:16" s="11" customFormat="1" x14ac:dyDescent="0.25">
      <c r="A84" s="7"/>
      <c r="B84" s="663"/>
      <c r="C84" s="664"/>
      <c r="D84" s="664"/>
      <c r="E84" s="664"/>
      <c r="F84" s="664"/>
      <c r="G84" s="664"/>
      <c r="H84" s="664"/>
      <c r="I84" s="664"/>
      <c r="J84" s="664"/>
      <c r="K84" s="664"/>
      <c r="L84" s="665"/>
      <c r="M84" s="38"/>
    </row>
    <row r="85" spans="1:16" x14ac:dyDescent="0.25">
      <c r="A85" s="7"/>
      <c r="B85" s="72"/>
      <c r="C85" s="69"/>
      <c r="D85" s="69"/>
      <c r="E85" s="69"/>
      <c r="F85" s="69"/>
      <c r="G85" s="69"/>
      <c r="H85" s="69"/>
      <c r="I85" s="69"/>
      <c r="J85" s="69"/>
      <c r="K85" s="69"/>
      <c r="L85" s="70"/>
      <c r="M85" s="10"/>
    </row>
    <row r="86" spans="1:16" s="11" customFormat="1" x14ac:dyDescent="0.25">
      <c r="A86" s="7"/>
      <c r="B86" s="674" t="s">
        <v>18</v>
      </c>
      <c r="C86" s="675"/>
      <c r="D86" s="675"/>
      <c r="E86" s="675"/>
      <c r="F86" s="675"/>
      <c r="G86" s="675"/>
      <c r="H86" s="675"/>
      <c r="I86" s="675"/>
      <c r="J86" s="675"/>
      <c r="K86" s="675"/>
      <c r="L86" s="676"/>
      <c r="M86" s="73"/>
    </row>
    <row r="87" spans="1:16" x14ac:dyDescent="0.25">
      <c r="A87" s="7"/>
      <c r="B87" s="74"/>
      <c r="C87" s="75"/>
      <c r="D87" s="75"/>
      <c r="E87" s="75"/>
      <c r="F87" s="75"/>
      <c r="G87" s="75"/>
      <c r="H87" s="75"/>
      <c r="I87" s="75"/>
      <c r="J87" s="75"/>
      <c r="K87" s="75"/>
      <c r="L87" s="58"/>
      <c r="M87" s="10"/>
    </row>
    <row r="88" spans="1:16" x14ac:dyDescent="0.25">
      <c r="A88" s="7"/>
      <c r="B88" s="527" t="str">
        <f>IF(Intro!$G$20="English",O88,P88)</f>
        <v>Décrivez les plans de votre entreprise pour gérer les niveaux de stocks au cours des deux prochaines années. Fournissez les motifs et les hypothèses sous-tendant ces objectifs et ces stratégies.</v>
      </c>
      <c r="C88" s="528"/>
      <c r="D88" s="528"/>
      <c r="E88" s="528"/>
      <c r="F88" s="528"/>
      <c r="G88" s="528"/>
      <c r="H88" s="528"/>
      <c r="I88" s="528"/>
      <c r="J88" s="528"/>
      <c r="K88" s="528"/>
      <c r="L88" s="529"/>
      <c r="M88" s="10"/>
      <c r="O88" s="10" t="s">
        <v>213</v>
      </c>
      <c r="P88" s="10" t="s">
        <v>148</v>
      </c>
    </row>
    <row r="89" spans="1:16" x14ac:dyDescent="0.25">
      <c r="A89" s="7"/>
      <c r="B89" s="74"/>
      <c r="C89" s="75"/>
      <c r="D89" s="75"/>
      <c r="E89" s="75"/>
      <c r="F89" s="75"/>
      <c r="G89" s="75"/>
      <c r="H89" s="75"/>
      <c r="I89" s="75"/>
      <c r="J89" s="75"/>
      <c r="K89" s="75"/>
      <c r="L89" s="58"/>
      <c r="M89" s="10"/>
    </row>
    <row r="90" spans="1:16" s="11" customFormat="1" x14ac:dyDescent="0.25">
      <c r="A90" s="7"/>
      <c r="B90" s="663"/>
      <c r="C90" s="664"/>
      <c r="D90" s="664"/>
      <c r="E90" s="664"/>
      <c r="F90" s="664"/>
      <c r="G90" s="664"/>
      <c r="H90" s="664"/>
      <c r="I90" s="664"/>
      <c r="J90" s="664"/>
      <c r="K90" s="664"/>
      <c r="L90" s="665"/>
      <c r="M90" s="38"/>
    </row>
    <row r="91" spans="1:16" s="11" customFormat="1" x14ac:dyDescent="0.25">
      <c r="A91" s="7"/>
      <c r="B91" s="663"/>
      <c r="C91" s="664"/>
      <c r="D91" s="664"/>
      <c r="E91" s="664"/>
      <c r="F91" s="664"/>
      <c r="G91" s="664"/>
      <c r="H91" s="664"/>
      <c r="I91" s="664"/>
      <c r="J91" s="664"/>
      <c r="K91" s="664"/>
      <c r="L91" s="665"/>
      <c r="M91" s="38"/>
    </row>
    <row r="92" spans="1:16" s="11" customFormat="1" x14ac:dyDescent="0.25">
      <c r="A92" s="7"/>
      <c r="B92" s="663"/>
      <c r="C92" s="664"/>
      <c r="D92" s="664"/>
      <c r="E92" s="664"/>
      <c r="F92" s="664"/>
      <c r="G92" s="664"/>
      <c r="H92" s="664"/>
      <c r="I92" s="664"/>
      <c r="J92" s="664"/>
      <c r="K92" s="664"/>
      <c r="L92" s="665"/>
      <c r="M92" s="38"/>
    </row>
    <row r="93" spans="1:16" s="11" customFormat="1" x14ac:dyDescent="0.25">
      <c r="A93" s="7"/>
      <c r="B93" s="663"/>
      <c r="C93" s="664"/>
      <c r="D93" s="664"/>
      <c r="E93" s="664"/>
      <c r="F93" s="664"/>
      <c r="G93" s="664"/>
      <c r="H93" s="664"/>
      <c r="I93" s="664"/>
      <c r="J93" s="664"/>
      <c r="K93" s="664"/>
      <c r="L93" s="665"/>
      <c r="M93" s="38"/>
    </row>
    <row r="94" spans="1:16" s="11" customFormat="1" x14ac:dyDescent="0.25">
      <c r="A94" s="7"/>
      <c r="B94" s="663"/>
      <c r="C94" s="664"/>
      <c r="D94" s="664"/>
      <c r="E94" s="664"/>
      <c r="F94" s="664"/>
      <c r="G94" s="664"/>
      <c r="H94" s="664"/>
      <c r="I94" s="664"/>
      <c r="J94" s="664"/>
      <c r="K94" s="664"/>
      <c r="L94" s="665"/>
      <c r="M94" s="38"/>
    </row>
    <row r="95" spans="1:16" s="11" customFormat="1" x14ac:dyDescent="0.25">
      <c r="A95" s="7"/>
      <c r="B95" s="663"/>
      <c r="C95" s="664"/>
      <c r="D95" s="664"/>
      <c r="E95" s="664"/>
      <c r="F95" s="664"/>
      <c r="G95" s="664"/>
      <c r="H95" s="664"/>
      <c r="I95" s="664"/>
      <c r="J95" s="664"/>
      <c r="K95" s="664"/>
      <c r="L95" s="665"/>
      <c r="M95" s="38"/>
    </row>
    <row r="96" spans="1:16" s="11" customFormat="1" x14ac:dyDescent="0.25">
      <c r="A96" s="7"/>
      <c r="B96" s="663"/>
      <c r="C96" s="664"/>
      <c r="D96" s="664"/>
      <c r="E96" s="664"/>
      <c r="F96" s="664"/>
      <c r="G96" s="664"/>
      <c r="H96" s="664"/>
      <c r="I96" s="664"/>
      <c r="J96" s="664"/>
      <c r="K96" s="664"/>
      <c r="L96" s="665"/>
      <c r="M96" s="38"/>
    </row>
    <row r="97" spans="1:14" s="11" customFormat="1" x14ac:dyDescent="0.25">
      <c r="A97" s="7"/>
      <c r="B97" s="663"/>
      <c r="C97" s="664"/>
      <c r="D97" s="664"/>
      <c r="E97" s="664"/>
      <c r="F97" s="664"/>
      <c r="G97" s="664"/>
      <c r="H97" s="664"/>
      <c r="I97" s="664"/>
      <c r="J97" s="664"/>
      <c r="K97" s="664"/>
      <c r="L97" s="665"/>
      <c r="M97" s="38"/>
    </row>
    <row r="98" spans="1:14" x14ac:dyDescent="0.25">
      <c r="A98" s="7"/>
      <c r="B98" s="72"/>
      <c r="C98" s="69"/>
      <c r="D98" s="69"/>
      <c r="E98" s="69"/>
      <c r="F98" s="69"/>
      <c r="G98" s="69"/>
      <c r="H98" s="69"/>
      <c r="I98" s="69"/>
      <c r="J98" s="69"/>
      <c r="K98" s="69"/>
      <c r="L98" s="70"/>
      <c r="M98" s="10"/>
    </row>
    <row r="99" spans="1:14" s="44" customFormat="1" x14ac:dyDescent="0.25">
      <c r="A99" s="76"/>
      <c r="B99" s="4"/>
      <c r="C99" s="77"/>
      <c r="D99" s="77"/>
      <c r="E99" s="77"/>
      <c r="F99" s="77"/>
      <c r="G99" s="77"/>
      <c r="H99" s="77"/>
      <c r="I99" s="77"/>
      <c r="J99" s="77"/>
      <c r="K99" s="77"/>
      <c r="L99" s="77"/>
      <c r="N99" s="78"/>
    </row>
    <row r="100" spans="1:14" s="44" customFormat="1" x14ac:dyDescent="0.25">
      <c r="A100" s="76"/>
      <c r="B100" s="4"/>
      <c r="C100" s="77"/>
      <c r="D100" s="77"/>
      <c r="E100" s="77"/>
      <c r="F100" s="77"/>
      <c r="G100" s="77"/>
      <c r="H100" s="77"/>
      <c r="I100" s="77"/>
      <c r="J100" s="77"/>
      <c r="K100" s="77"/>
      <c r="L100" s="77"/>
      <c r="N100" s="78"/>
    </row>
    <row r="101" spans="1:14" s="44" customFormat="1" x14ac:dyDescent="0.25">
      <c r="A101" s="76"/>
      <c r="B101" s="4"/>
      <c r="C101" s="77"/>
      <c r="D101" s="77"/>
      <c r="E101" s="77"/>
      <c r="F101" s="77"/>
      <c r="G101" s="77"/>
      <c r="H101" s="77"/>
      <c r="I101" s="77"/>
      <c r="J101" s="77"/>
      <c r="K101" s="77"/>
      <c r="L101" s="77"/>
      <c r="N101" s="78"/>
    </row>
    <row r="102" spans="1:14" s="44" customFormat="1" x14ac:dyDescent="0.25">
      <c r="A102" s="76"/>
      <c r="B102" s="4"/>
      <c r="C102" s="77"/>
      <c r="D102" s="77"/>
      <c r="E102" s="77"/>
      <c r="F102" s="77"/>
      <c r="G102" s="77"/>
      <c r="H102" s="77"/>
      <c r="I102" s="77"/>
      <c r="J102" s="77"/>
      <c r="K102" s="77"/>
      <c r="L102" s="77"/>
      <c r="N102" s="78"/>
    </row>
    <row r="103" spans="1:14" s="44" customFormat="1" x14ac:dyDescent="0.25">
      <c r="A103" s="76"/>
      <c r="B103" s="4"/>
      <c r="C103" s="77"/>
      <c r="D103" s="77"/>
      <c r="E103" s="77"/>
      <c r="F103" s="77"/>
      <c r="G103" s="77"/>
      <c r="H103" s="77"/>
      <c r="I103" s="77"/>
      <c r="J103" s="77"/>
      <c r="K103" s="77"/>
      <c r="L103" s="77"/>
      <c r="N103" s="78"/>
    </row>
  </sheetData>
  <sheetProtection algorithmName="SHA-512" hashValue="BG8AF547qHJt1IUkwoG23V59z4w4lTEqd2kz6VuA7p5NayZwTO1zF5cTa4qBN6CVLEs7tbeka5KTghmkbUgQ7g==" saltValue="zPHcBlmrdWCzW7ofrn0jHA==" spinCount="100000" sheet="1" objects="1" scenarios="1" selectLockedCells="1"/>
  <mergeCells count="59">
    <mergeCell ref="B49:L56"/>
    <mergeCell ref="B63:L70"/>
    <mergeCell ref="B77:L84"/>
    <mergeCell ref="B90:L97"/>
    <mergeCell ref="B60:L61"/>
    <mergeCell ref="B74:L75"/>
    <mergeCell ref="B88:L88"/>
    <mergeCell ref="B58:L58"/>
    <mergeCell ref="B72:L72"/>
    <mergeCell ref="B86:L86"/>
    <mergeCell ref="B4:L4"/>
    <mergeCell ref="B5:L5"/>
    <mergeCell ref="B6:L6"/>
    <mergeCell ref="D26:F26"/>
    <mergeCell ref="D27:F27"/>
    <mergeCell ref="B26:C28"/>
    <mergeCell ref="D28:F28"/>
    <mergeCell ref="B19:L19"/>
    <mergeCell ref="G24:G25"/>
    <mergeCell ref="H24:H25"/>
    <mergeCell ref="I24:I25"/>
    <mergeCell ref="J24:J25"/>
    <mergeCell ref="K24:K25"/>
    <mergeCell ref="B20:L20"/>
    <mergeCell ref="B32:C34"/>
    <mergeCell ref="D33:F33"/>
    <mergeCell ref="D34:F34"/>
    <mergeCell ref="E42:F42"/>
    <mergeCell ref="D32:F32"/>
    <mergeCell ref="B38:L38"/>
    <mergeCell ref="B36:L36"/>
    <mergeCell ref="B29:C31"/>
    <mergeCell ref="B14:L14"/>
    <mergeCell ref="B8:L8"/>
    <mergeCell ref="B9:L9"/>
    <mergeCell ref="B10:L10"/>
    <mergeCell ref="B12:L12"/>
    <mergeCell ref="B13:L13"/>
    <mergeCell ref="B15:L15"/>
    <mergeCell ref="B16:L16"/>
    <mergeCell ref="B17:L17"/>
    <mergeCell ref="B22:L22"/>
    <mergeCell ref="D29:F29"/>
    <mergeCell ref="D30:F30"/>
    <mergeCell ref="D31:F31"/>
    <mergeCell ref="B47:L47"/>
    <mergeCell ref="B42:D42"/>
    <mergeCell ref="G40:G41"/>
    <mergeCell ref="H40:H41"/>
    <mergeCell ref="I40:I41"/>
    <mergeCell ref="J40:J41"/>
    <mergeCell ref="K40:K41"/>
    <mergeCell ref="J43:J45"/>
    <mergeCell ref="K43:K45"/>
    <mergeCell ref="B43:D45"/>
    <mergeCell ref="E43:F45"/>
    <mergeCell ref="G43:G45"/>
    <mergeCell ref="H43:H45"/>
    <mergeCell ref="I43:I45"/>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49 B63 B77 B90"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8 G34:K34 G31:K31 H26:K28 G42:K43" xr:uid="{98978244-0A96-4FE2-821D-5B2C774BD17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6:G27 G29:K30 G32:K33" xr:uid="{7045C76A-A201-4E84-80FD-CF6874172F23}">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57" min="1" max="11"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zoomScaleNormal="100" workbookViewId="0">
      <selection activeCell="O16" sqref="O1:P1048576"/>
    </sheetView>
  </sheetViews>
  <sheetFormatPr defaultColWidth="9.140625" defaultRowHeight="14.25" x14ac:dyDescent="0.25"/>
  <cols>
    <col min="1" max="1" width="1.85546875" style="8" customWidth="1"/>
    <col min="2" max="2" width="12.140625" style="1" customWidth="1"/>
    <col min="3" max="3" width="5.85546875" style="1" customWidth="1"/>
    <col min="4" max="4" width="18.5703125" style="1" customWidth="1"/>
    <col min="5" max="12" width="15.42578125" style="1" customWidth="1"/>
    <col min="13" max="13" width="6.140625" style="9" customWidth="1"/>
    <col min="14" max="14" width="9.140625" style="10" customWidth="1"/>
    <col min="15" max="15" width="10.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Pro!B2</f>
        <v>PROTÉGÉ</v>
      </c>
      <c r="C2" s="12"/>
      <c r="O2" s="161" t="s">
        <v>93</v>
      </c>
      <c r="P2" s="161" t="s">
        <v>109</v>
      </c>
    </row>
    <row r="3" spans="1:16" x14ac:dyDescent="0.25">
      <c r="B3" s="13"/>
      <c r="C3" s="13"/>
      <c r="O3" s="2"/>
      <c r="P3" s="2"/>
    </row>
    <row r="4" spans="1:16" s="2" customFormat="1" x14ac:dyDescent="0.25">
      <c r="A4" s="4"/>
      <c r="B4" s="615" t="str">
        <f>Info!B4</f>
        <v>QUESTIONNAIRE À L'INTENTION DES IMPORTATEURS</v>
      </c>
      <c r="C4" s="616"/>
      <c r="D4" s="616"/>
      <c r="E4" s="616"/>
      <c r="F4" s="616"/>
      <c r="G4" s="616"/>
      <c r="H4" s="616"/>
      <c r="I4" s="616"/>
      <c r="J4" s="616"/>
      <c r="K4" s="616"/>
      <c r="L4" s="617"/>
      <c r="M4" s="25"/>
      <c r="N4" s="25"/>
      <c r="O4" s="19"/>
      <c r="P4" s="19"/>
    </row>
    <row r="5" spans="1:16" s="2" customFormat="1" x14ac:dyDescent="0.25">
      <c r="A5" s="4"/>
      <c r="B5" s="651" t="str">
        <f>Info!B5</f>
        <v>NQ-2026-001</v>
      </c>
      <c r="C5" s="652"/>
      <c r="D5" s="652"/>
      <c r="E5" s="652"/>
      <c r="F5" s="652"/>
      <c r="G5" s="652"/>
      <c r="H5" s="652"/>
      <c r="I5" s="652"/>
      <c r="J5" s="652"/>
      <c r="K5" s="652"/>
      <c r="L5" s="653"/>
      <c r="M5" s="25"/>
      <c r="N5" s="25"/>
      <c r="O5" s="19"/>
      <c r="P5" s="19"/>
    </row>
    <row r="6" spans="1:16" s="6" customFormat="1" ht="14.25" customHeight="1" x14ac:dyDescent="0.25">
      <c r="A6" s="4"/>
      <c r="B6" s="703" t="str">
        <f>Info!B6</f>
        <v>TUBAGES DE PUITS DE GAZ ET DE PÉTROLE</v>
      </c>
      <c r="C6" s="704"/>
      <c r="D6" s="704"/>
      <c r="E6" s="704"/>
      <c r="F6" s="704"/>
      <c r="G6" s="704"/>
      <c r="H6" s="704"/>
      <c r="I6" s="704"/>
      <c r="J6" s="704"/>
      <c r="K6" s="704"/>
      <c r="L6" s="705"/>
      <c r="M6" s="19"/>
      <c r="N6" s="19"/>
      <c r="O6" s="15"/>
      <c r="P6" s="15"/>
    </row>
    <row r="7" spans="1:16" s="6" customFormat="1" x14ac:dyDescent="0.25">
      <c r="A7" s="4"/>
      <c r="B7" s="14"/>
      <c r="C7" s="14"/>
      <c r="D7" s="3"/>
      <c r="E7" s="3"/>
      <c r="F7" s="3"/>
      <c r="G7" s="3"/>
      <c r="H7" s="3"/>
      <c r="I7" s="3"/>
      <c r="J7" s="3"/>
      <c r="K7" s="3"/>
      <c r="L7" s="3"/>
      <c r="O7" s="15"/>
      <c r="P7" s="15"/>
    </row>
    <row r="8" spans="1:16" x14ac:dyDescent="0.25">
      <c r="B8" s="533" t="str">
        <f>IF(Intro!$G$20="English",O8,P8)</f>
        <v>COMMENTAIRES PROTÉGÉS</v>
      </c>
      <c r="C8" s="534"/>
      <c r="D8" s="534"/>
      <c r="E8" s="534"/>
      <c r="F8" s="534"/>
      <c r="G8" s="534"/>
      <c r="H8" s="534"/>
      <c r="I8" s="534"/>
      <c r="J8" s="534"/>
      <c r="K8" s="534"/>
      <c r="L8" s="535"/>
      <c r="M8" s="10"/>
      <c r="O8" s="10" t="s">
        <v>88</v>
      </c>
      <c r="P8" s="10" t="s">
        <v>214</v>
      </c>
    </row>
    <row r="9" spans="1:16" x14ac:dyDescent="0.25">
      <c r="B9" s="16"/>
      <c r="C9" s="35"/>
      <c r="D9" s="36"/>
      <c r="E9" s="36"/>
      <c r="F9" s="36"/>
      <c r="G9" s="36"/>
      <c r="H9" s="36"/>
      <c r="I9" s="36"/>
      <c r="J9" s="36"/>
      <c r="K9" s="36"/>
      <c r="L9" s="17"/>
      <c r="M9" s="10"/>
    </row>
    <row r="10" spans="1:16" x14ac:dyDescent="0.25">
      <c r="B10" s="530" t="str">
        <f>AddPub!B10</f>
        <v>Si votre entreprise désire ajouter des commentaires concernant vos réponses, vous les inscrivez ici. Indiquez à quelle question se rapportent vos commentaires.</v>
      </c>
      <c r="C10" s="531"/>
      <c r="D10" s="531"/>
      <c r="E10" s="531"/>
      <c r="F10" s="531"/>
      <c r="G10" s="531"/>
      <c r="H10" s="531"/>
      <c r="I10" s="531"/>
      <c r="J10" s="531"/>
      <c r="K10" s="531"/>
      <c r="L10" s="532"/>
      <c r="M10" s="10"/>
      <c r="O10" s="18"/>
    </row>
    <row r="11" spans="1:16" x14ac:dyDescent="0.25">
      <c r="B11" s="61"/>
      <c r="C11" s="35"/>
      <c r="D11" s="36"/>
      <c r="E11" s="36"/>
      <c r="F11" s="36"/>
      <c r="G11" s="36"/>
      <c r="H11" s="36"/>
      <c r="I11" s="36"/>
      <c r="J11" s="36"/>
      <c r="K11" s="36"/>
      <c r="L11" s="17"/>
      <c r="M11" s="10"/>
      <c r="O11" s="47" t="s">
        <v>409</v>
      </c>
      <c r="P11" s="47" t="s">
        <v>410</v>
      </c>
    </row>
    <row r="12" spans="1:16" x14ac:dyDescent="0.25">
      <c r="B12" s="113"/>
      <c r="C12" s="35"/>
      <c r="D12" s="125" t="str">
        <f>IF(Intro!$G$20="English",O11,P11)</f>
        <v>Onglet et question</v>
      </c>
      <c r="E12" s="706" t="str">
        <f>IF(Intro!$G$20="English",O12,P12)</f>
        <v>Commentaires</v>
      </c>
      <c r="F12" s="706"/>
      <c r="G12" s="706"/>
      <c r="H12" s="706"/>
      <c r="I12" s="706"/>
      <c r="J12" s="706"/>
      <c r="K12" s="706"/>
      <c r="L12" s="707"/>
      <c r="M12" s="10"/>
      <c r="O12" s="18" t="s">
        <v>129</v>
      </c>
      <c r="P12" s="10" t="s">
        <v>130</v>
      </c>
    </row>
    <row r="13" spans="1:16" x14ac:dyDescent="0.25">
      <c r="B13" s="698" t="str">
        <f>IF(Intro!$G$20="English",O13,P13)</f>
        <v>Commentaire 1</v>
      </c>
      <c r="C13" s="699"/>
      <c r="D13" s="700"/>
      <c r="E13" s="701"/>
      <c r="F13" s="701"/>
      <c r="G13" s="701"/>
      <c r="H13" s="701"/>
      <c r="I13" s="701"/>
      <c r="J13" s="701"/>
      <c r="K13" s="701"/>
      <c r="L13" s="702"/>
      <c r="M13" s="10"/>
      <c r="O13" s="18" t="s">
        <v>131</v>
      </c>
      <c r="P13" s="10" t="s">
        <v>132</v>
      </c>
    </row>
    <row r="14" spans="1:16" x14ac:dyDescent="0.25">
      <c r="B14" s="698"/>
      <c r="C14" s="699"/>
      <c r="D14" s="700"/>
      <c r="E14" s="701"/>
      <c r="F14" s="701"/>
      <c r="G14" s="701"/>
      <c r="H14" s="701"/>
      <c r="I14" s="701"/>
      <c r="J14" s="701"/>
      <c r="K14" s="701"/>
      <c r="L14" s="702"/>
      <c r="M14" s="10"/>
      <c r="O14" s="18"/>
    </row>
    <row r="15" spans="1:16" x14ac:dyDescent="0.25">
      <c r="B15" s="698"/>
      <c r="C15" s="699"/>
      <c r="D15" s="700"/>
      <c r="E15" s="701"/>
      <c r="F15" s="701"/>
      <c r="G15" s="701"/>
      <c r="H15" s="701"/>
      <c r="I15" s="701"/>
      <c r="J15" s="701"/>
      <c r="K15" s="701"/>
      <c r="L15" s="702"/>
      <c r="M15" s="10"/>
      <c r="O15" s="18"/>
    </row>
    <row r="16" spans="1:16" x14ac:dyDescent="0.25">
      <c r="B16" s="698"/>
      <c r="C16" s="699"/>
      <c r="D16" s="700"/>
      <c r="E16" s="701"/>
      <c r="F16" s="701"/>
      <c r="G16" s="701"/>
      <c r="H16" s="701"/>
      <c r="I16" s="701"/>
      <c r="J16" s="701"/>
      <c r="K16" s="701"/>
      <c r="L16" s="702"/>
      <c r="M16" s="10"/>
      <c r="O16" s="18"/>
    </row>
    <row r="17" spans="2:16" x14ac:dyDescent="0.25">
      <c r="B17" s="698"/>
      <c r="C17" s="699"/>
      <c r="D17" s="700"/>
      <c r="E17" s="701"/>
      <c r="F17" s="701"/>
      <c r="G17" s="701"/>
      <c r="H17" s="701"/>
      <c r="I17" s="701"/>
      <c r="J17" s="701"/>
      <c r="K17" s="701"/>
      <c r="L17" s="702"/>
      <c r="M17" s="10"/>
      <c r="O17" s="18"/>
    </row>
    <row r="18" spans="2:16" x14ac:dyDescent="0.25">
      <c r="B18" s="698"/>
      <c r="C18" s="699"/>
      <c r="D18" s="700"/>
      <c r="E18" s="701"/>
      <c r="F18" s="701"/>
      <c r="G18" s="701"/>
      <c r="H18" s="701"/>
      <c r="I18" s="701"/>
      <c r="J18" s="701"/>
      <c r="K18" s="701"/>
      <c r="L18" s="702"/>
      <c r="M18" s="10"/>
      <c r="O18" s="18"/>
    </row>
    <row r="19" spans="2:16" x14ac:dyDescent="0.25">
      <c r="B19" s="698"/>
      <c r="C19" s="699"/>
      <c r="D19" s="700"/>
      <c r="E19" s="701"/>
      <c r="F19" s="701"/>
      <c r="G19" s="701"/>
      <c r="H19" s="701"/>
      <c r="I19" s="701"/>
      <c r="J19" s="701"/>
      <c r="K19" s="701"/>
      <c r="L19" s="702"/>
      <c r="M19" s="10"/>
      <c r="O19" s="18"/>
    </row>
    <row r="20" spans="2:16" x14ac:dyDescent="0.25">
      <c r="B20" s="698"/>
      <c r="C20" s="699"/>
      <c r="D20" s="700"/>
      <c r="E20" s="701"/>
      <c r="F20" s="701"/>
      <c r="G20" s="701"/>
      <c r="H20" s="701"/>
      <c r="I20" s="701"/>
      <c r="J20" s="701"/>
      <c r="K20" s="701"/>
      <c r="L20" s="702"/>
      <c r="M20" s="10"/>
      <c r="O20" s="18"/>
    </row>
    <row r="21" spans="2:16" x14ac:dyDescent="0.25">
      <c r="B21" s="698"/>
      <c r="C21" s="699"/>
      <c r="D21" s="700"/>
      <c r="E21" s="701"/>
      <c r="F21" s="701"/>
      <c r="G21" s="701"/>
      <c r="H21" s="701"/>
      <c r="I21" s="701"/>
      <c r="J21" s="701"/>
      <c r="K21" s="701"/>
      <c r="L21" s="702"/>
      <c r="M21" s="10"/>
      <c r="O21" s="18"/>
    </row>
    <row r="22" spans="2:16" x14ac:dyDescent="0.25">
      <c r="B22" s="698"/>
      <c r="C22" s="699"/>
      <c r="D22" s="700"/>
      <c r="E22" s="701"/>
      <c r="F22" s="701"/>
      <c r="G22" s="701"/>
      <c r="H22" s="701"/>
      <c r="I22" s="701"/>
      <c r="J22" s="701"/>
      <c r="K22" s="701"/>
      <c r="L22" s="702"/>
      <c r="M22" s="10"/>
      <c r="O22" s="18"/>
    </row>
    <row r="23" spans="2:16" x14ac:dyDescent="0.25">
      <c r="B23" s="698" t="str">
        <f>IF(Intro!$G$20="English",O23,P23)</f>
        <v>Commentaire 2</v>
      </c>
      <c r="C23" s="699"/>
      <c r="D23" s="700"/>
      <c r="E23" s="701"/>
      <c r="F23" s="701"/>
      <c r="G23" s="701"/>
      <c r="H23" s="701"/>
      <c r="I23" s="701"/>
      <c r="J23" s="701"/>
      <c r="K23" s="701"/>
      <c r="L23" s="702"/>
      <c r="M23" s="10"/>
      <c r="O23" s="18" t="s">
        <v>133</v>
      </c>
      <c r="P23" s="10" t="s">
        <v>134</v>
      </c>
    </row>
    <row r="24" spans="2:16" x14ac:dyDescent="0.25">
      <c r="B24" s="698"/>
      <c r="C24" s="699"/>
      <c r="D24" s="700"/>
      <c r="E24" s="701"/>
      <c r="F24" s="701"/>
      <c r="G24" s="701"/>
      <c r="H24" s="701"/>
      <c r="I24" s="701"/>
      <c r="J24" s="701"/>
      <c r="K24" s="701"/>
      <c r="L24" s="702"/>
      <c r="M24" s="10"/>
    </row>
    <row r="25" spans="2:16" x14ac:dyDescent="0.25">
      <c r="B25" s="698"/>
      <c r="C25" s="699"/>
      <c r="D25" s="700"/>
      <c r="E25" s="701"/>
      <c r="F25" s="701"/>
      <c r="G25" s="701"/>
      <c r="H25" s="701"/>
      <c r="I25" s="701"/>
      <c r="J25" s="701"/>
      <c r="K25" s="701"/>
      <c r="L25" s="702"/>
      <c r="M25" s="10"/>
    </row>
    <row r="26" spans="2:16" x14ac:dyDescent="0.25">
      <c r="B26" s="698"/>
      <c r="C26" s="699"/>
      <c r="D26" s="700"/>
      <c r="E26" s="701"/>
      <c r="F26" s="701"/>
      <c r="G26" s="701"/>
      <c r="H26" s="701"/>
      <c r="I26" s="701"/>
      <c r="J26" s="701"/>
      <c r="K26" s="701"/>
      <c r="L26" s="702"/>
      <c r="M26" s="10"/>
    </row>
    <row r="27" spans="2:16" x14ac:dyDescent="0.25">
      <c r="B27" s="698"/>
      <c r="C27" s="699"/>
      <c r="D27" s="700"/>
      <c r="E27" s="701"/>
      <c r="F27" s="701"/>
      <c r="G27" s="701"/>
      <c r="H27" s="701"/>
      <c r="I27" s="701"/>
      <c r="J27" s="701"/>
      <c r="K27" s="701"/>
      <c r="L27" s="702"/>
      <c r="M27" s="10"/>
      <c r="O27" s="18"/>
    </row>
    <row r="28" spans="2:16" x14ac:dyDescent="0.25">
      <c r="B28" s="698"/>
      <c r="C28" s="699"/>
      <c r="D28" s="700"/>
      <c r="E28" s="701"/>
      <c r="F28" s="701"/>
      <c r="G28" s="701"/>
      <c r="H28" s="701"/>
      <c r="I28" s="701"/>
      <c r="J28" s="701"/>
      <c r="K28" s="701"/>
      <c r="L28" s="702"/>
      <c r="M28" s="10"/>
      <c r="O28" s="18"/>
    </row>
    <row r="29" spans="2:16" x14ac:dyDescent="0.25">
      <c r="B29" s="698"/>
      <c r="C29" s="699"/>
      <c r="D29" s="700"/>
      <c r="E29" s="701"/>
      <c r="F29" s="701"/>
      <c r="G29" s="701"/>
      <c r="H29" s="701"/>
      <c r="I29" s="701"/>
      <c r="J29" s="701"/>
      <c r="K29" s="701"/>
      <c r="L29" s="702"/>
      <c r="M29" s="10"/>
      <c r="O29" s="18"/>
    </row>
    <row r="30" spans="2:16" x14ac:dyDescent="0.25">
      <c r="B30" s="698"/>
      <c r="C30" s="699"/>
      <c r="D30" s="700"/>
      <c r="E30" s="701"/>
      <c r="F30" s="701"/>
      <c r="G30" s="701"/>
      <c r="H30" s="701"/>
      <c r="I30" s="701"/>
      <c r="J30" s="701"/>
      <c r="K30" s="701"/>
      <c r="L30" s="702"/>
      <c r="M30" s="10"/>
      <c r="O30" s="18"/>
    </row>
    <row r="31" spans="2:16" x14ac:dyDescent="0.25">
      <c r="B31" s="698"/>
      <c r="C31" s="699"/>
      <c r="D31" s="700"/>
      <c r="E31" s="701"/>
      <c r="F31" s="701"/>
      <c r="G31" s="701"/>
      <c r="H31" s="701"/>
      <c r="I31" s="701"/>
      <c r="J31" s="701"/>
      <c r="K31" s="701"/>
      <c r="L31" s="702"/>
      <c r="M31" s="10"/>
      <c r="O31" s="18"/>
    </row>
    <row r="32" spans="2:16" x14ac:dyDescent="0.25">
      <c r="B32" s="698"/>
      <c r="C32" s="699"/>
      <c r="D32" s="700"/>
      <c r="E32" s="701"/>
      <c r="F32" s="701"/>
      <c r="G32" s="701"/>
      <c r="H32" s="701"/>
      <c r="I32" s="701"/>
      <c r="J32" s="701"/>
      <c r="K32" s="701"/>
      <c r="L32" s="702"/>
      <c r="M32" s="10"/>
      <c r="O32" s="18"/>
    </row>
    <row r="33" spans="2:16" x14ac:dyDescent="0.25">
      <c r="B33" s="698" t="str">
        <f>IF(Intro!$G$20="English",O33,P33)</f>
        <v>Commentaire 3</v>
      </c>
      <c r="C33" s="699"/>
      <c r="D33" s="700"/>
      <c r="E33" s="701"/>
      <c r="F33" s="701"/>
      <c r="G33" s="701"/>
      <c r="H33" s="701"/>
      <c r="I33" s="701"/>
      <c r="J33" s="701"/>
      <c r="K33" s="701"/>
      <c r="L33" s="702"/>
      <c r="M33" s="10"/>
      <c r="O33" s="18" t="s">
        <v>135</v>
      </c>
      <c r="P33" s="10" t="s">
        <v>136</v>
      </c>
    </row>
    <row r="34" spans="2:16" x14ac:dyDescent="0.25">
      <c r="B34" s="698"/>
      <c r="C34" s="699"/>
      <c r="D34" s="700"/>
      <c r="E34" s="701"/>
      <c r="F34" s="701"/>
      <c r="G34" s="701"/>
      <c r="H34" s="701"/>
      <c r="I34" s="701"/>
      <c r="J34" s="701"/>
      <c r="K34" s="701"/>
      <c r="L34" s="702"/>
      <c r="M34" s="10"/>
      <c r="O34" s="18"/>
    </row>
    <row r="35" spans="2:16" x14ac:dyDescent="0.25">
      <c r="B35" s="698"/>
      <c r="C35" s="699"/>
      <c r="D35" s="700"/>
      <c r="E35" s="701"/>
      <c r="F35" s="701"/>
      <c r="G35" s="701"/>
      <c r="H35" s="701"/>
      <c r="I35" s="701"/>
      <c r="J35" s="701"/>
      <c r="K35" s="701"/>
      <c r="L35" s="702"/>
      <c r="M35" s="10"/>
      <c r="O35" s="18"/>
    </row>
    <row r="36" spans="2:16" x14ac:dyDescent="0.25">
      <c r="B36" s="698"/>
      <c r="C36" s="699"/>
      <c r="D36" s="700"/>
      <c r="E36" s="701"/>
      <c r="F36" s="701"/>
      <c r="G36" s="701"/>
      <c r="H36" s="701"/>
      <c r="I36" s="701"/>
      <c r="J36" s="701"/>
      <c r="K36" s="701"/>
      <c r="L36" s="702"/>
      <c r="M36" s="10"/>
      <c r="O36" s="18"/>
    </row>
    <row r="37" spans="2:16" x14ac:dyDescent="0.25">
      <c r="B37" s="698"/>
      <c r="C37" s="699"/>
      <c r="D37" s="700"/>
      <c r="E37" s="701"/>
      <c r="F37" s="701"/>
      <c r="G37" s="701"/>
      <c r="H37" s="701"/>
      <c r="I37" s="701"/>
      <c r="J37" s="701"/>
      <c r="K37" s="701"/>
      <c r="L37" s="702"/>
      <c r="M37" s="10"/>
      <c r="O37" s="18"/>
    </row>
    <row r="38" spans="2:16" x14ac:dyDescent="0.25">
      <c r="B38" s="698"/>
      <c r="C38" s="699"/>
      <c r="D38" s="700"/>
      <c r="E38" s="701"/>
      <c r="F38" s="701"/>
      <c r="G38" s="701"/>
      <c r="H38" s="701"/>
      <c r="I38" s="701"/>
      <c r="J38" s="701"/>
      <c r="K38" s="701"/>
      <c r="L38" s="702"/>
      <c r="M38" s="10"/>
      <c r="O38" s="18"/>
    </row>
    <row r="39" spans="2:16" x14ac:dyDescent="0.25">
      <c r="B39" s="698"/>
      <c r="C39" s="699"/>
      <c r="D39" s="700"/>
      <c r="E39" s="701"/>
      <c r="F39" s="701"/>
      <c r="G39" s="701"/>
      <c r="H39" s="701"/>
      <c r="I39" s="701"/>
      <c r="J39" s="701"/>
      <c r="K39" s="701"/>
      <c r="L39" s="702"/>
      <c r="M39" s="10"/>
      <c r="O39" s="18"/>
    </row>
    <row r="40" spans="2:16" x14ac:dyDescent="0.25">
      <c r="B40" s="698"/>
      <c r="C40" s="699"/>
      <c r="D40" s="700"/>
      <c r="E40" s="701"/>
      <c r="F40" s="701"/>
      <c r="G40" s="701"/>
      <c r="H40" s="701"/>
      <c r="I40" s="701"/>
      <c r="J40" s="701"/>
      <c r="K40" s="701"/>
      <c r="L40" s="702"/>
      <c r="M40" s="10"/>
      <c r="O40" s="18"/>
    </row>
    <row r="41" spans="2:16" x14ac:dyDescent="0.25">
      <c r="B41" s="698"/>
      <c r="C41" s="699"/>
      <c r="D41" s="700"/>
      <c r="E41" s="701"/>
      <c r="F41" s="701"/>
      <c r="G41" s="701"/>
      <c r="H41" s="701"/>
      <c r="I41" s="701"/>
      <c r="J41" s="701"/>
      <c r="K41" s="701"/>
      <c r="L41" s="702"/>
      <c r="M41" s="10"/>
      <c r="O41" s="18"/>
    </row>
    <row r="42" spans="2:16" x14ac:dyDescent="0.25">
      <c r="B42" s="698"/>
      <c r="C42" s="699"/>
      <c r="D42" s="700"/>
      <c r="E42" s="701"/>
      <c r="F42" s="701"/>
      <c r="G42" s="701"/>
      <c r="H42" s="701"/>
      <c r="I42" s="701"/>
      <c r="J42" s="701"/>
      <c r="K42" s="701"/>
      <c r="L42" s="702"/>
      <c r="M42" s="10"/>
      <c r="O42" s="18"/>
    </row>
    <row r="43" spans="2:16" x14ac:dyDescent="0.25">
      <c r="B43" s="698" t="str">
        <f>IF(Intro!$G$20="English",O43,P43)</f>
        <v>Commentaire 4</v>
      </c>
      <c r="C43" s="699"/>
      <c r="D43" s="700"/>
      <c r="E43" s="701"/>
      <c r="F43" s="701"/>
      <c r="G43" s="701"/>
      <c r="H43" s="701"/>
      <c r="I43" s="701"/>
      <c r="J43" s="701"/>
      <c r="K43" s="701"/>
      <c r="L43" s="702"/>
      <c r="M43" s="10"/>
      <c r="O43" s="18" t="s">
        <v>137</v>
      </c>
      <c r="P43" s="10" t="s">
        <v>138</v>
      </c>
    </row>
    <row r="44" spans="2:16" x14ac:dyDescent="0.25">
      <c r="B44" s="698"/>
      <c r="C44" s="699"/>
      <c r="D44" s="700"/>
      <c r="E44" s="701"/>
      <c r="F44" s="701"/>
      <c r="G44" s="701"/>
      <c r="H44" s="701"/>
      <c r="I44" s="701"/>
      <c r="J44" s="701"/>
      <c r="K44" s="701"/>
      <c r="L44" s="702"/>
      <c r="M44" s="10"/>
      <c r="O44" s="18"/>
    </row>
    <row r="45" spans="2:16" x14ac:dyDescent="0.25">
      <c r="B45" s="698"/>
      <c r="C45" s="699"/>
      <c r="D45" s="700"/>
      <c r="E45" s="701"/>
      <c r="F45" s="701"/>
      <c r="G45" s="701"/>
      <c r="H45" s="701"/>
      <c r="I45" s="701"/>
      <c r="J45" s="701"/>
      <c r="K45" s="701"/>
      <c r="L45" s="702"/>
      <c r="M45" s="10"/>
      <c r="O45" s="18"/>
    </row>
    <row r="46" spans="2:16" x14ac:dyDescent="0.25">
      <c r="B46" s="698"/>
      <c r="C46" s="699"/>
      <c r="D46" s="700"/>
      <c r="E46" s="701"/>
      <c r="F46" s="701"/>
      <c r="G46" s="701"/>
      <c r="H46" s="701"/>
      <c r="I46" s="701"/>
      <c r="J46" s="701"/>
      <c r="K46" s="701"/>
      <c r="L46" s="702"/>
      <c r="M46" s="10"/>
      <c r="O46" s="18"/>
    </row>
    <row r="47" spans="2:16" x14ac:dyDescent="0.25">
      <c r="B47" s="698"/>
      <c r="C47" s="699"/>
      <c r="D47" s="700"/>
      <c r="E47" s="701"/>
      <c r="F47" s="701"/>
      <c r="G47" s="701"/>
      <c r="H47" s="701"/>
      <c r="I47" s="701"/>
      <c r="J47" s="701"/>
      <c r="K47" s="701"/>
      <c r="L47" s="702"/>
      <c r="M47" s="10"/>
      <c r="O47" s="18"/>
    </row>
    <row r="48" spans="2:16" x14ac:dyDescent="0.25">
      <c r="B48" s="698"/>
      <c r="C48" s="699"/>
      <c r="D48" s="700"/>
      <c r="E48" s="701"/>
      <c r="F48" s="701"/>
      <c r="G48" s="701"/>
      <c r="H48" s="701"/>
      <c r="I48" s="701"/>
      <c r="J48" s="701"/>
      <c r="K48" s="701"/>
      <c r="L48" s="702"/>
      <c r="M48" s="10"/>
      <c r="O48" s="18"/>
    </row>
    <row r="49" spans="1:16" x14ac:dyDescent="0.25">
      <c r="B49" s="698"/>
      <c r="C49" s="699"/>
      <c r="D49" s="700"/>
      <c r="E49" s="701"/>
      <c r="F49" s="701"/>
      <c r="G49" s="701"/>
      <c r="H49" s="701"/>
      <c r="I49" s="701"/>
      <c r="J49" s="701"/>
      <c r="K49" s="701"/>
      <c r="L49" s="702"/>
      <c r="M49" s="10"/>
      <c r="O49" s="18"/>
    </row>
    <row r="50" spans="1:16" x14ac:dyDescent="0.25">
      <c r="B50" s="698"/>
      <c r="C50" s="699"/>
      <c r="D50" s="700"/>
      <c r="E50" s="701"/>
      <c r="F50" s="701"/>
      <c r="G50" s="701"/>
      <c r="H50" s="701"/>
      <c r="I50" s="701"/>
      <c r="J50" s="701"/>
      <c r="K50" s="701"/>
      <c r="L50" s="702"/>
      <c r="M50" s="10"/>
      <c r="O50" s="18"/>
    </row>
    <row r="51" spans="1:16" x14ac:dyDescent="0.25">
      <c r="B51" s="698"/>
      <c r="C51" s="699"/>
      <c r="D51" s="700"/>
      <c r="E51" s="701"/>
      <c r="F51" s="701"/>
      <c r="G51" s="701"/>
      <c r="H51" s="701"/>
      <c r="I51" s="701"/>
      <c r="J51" s="701"/>
      <c r="K51" s="701"/>
      <c r="L51" s="702"/>
      <c r="M51" s="10"/>
      <c r="O51" s="18"/>
    </row>
    <row r="52" spans="1:16" x14ac:dyDescent="0.25">
      <c r="B52" s="698"/>
      <c r="C52" s="699"/>
      <c r="D52" s="700"/>
      <c r="E52" s="701"/>
      <c r="F52" s="701"/>
      <c r="G52" s="701"/>
      <c r="H52" s="701"/>
      <c r="I52" s="701"/>
      <c r="J52" s="701"/>
      <c r="K52" s="701"/>
      <c r="L52" s="702"/>
      <c r="M52" s="10"/>
      <c r="O52" s="18"/>
    </row>
    <row r="53" spans="1:16" x14ac:dyDescent="0.25">
      <c r="B53" s="698" t="str">
        <f>IF(Intro!$G$20="English",O53,P53)</f>
        <v>Commentaire 5</v>
      </c>
      <c r="C53" s="699"/>
      <c r="D53" s="700"/>
      <c r="E53" s="701"/>
      <c r="F53" s="701"/>
      <c r="G53" s="701"/>
      <c r="H53" s="701"/>
      <c r="I53" s="701"/>
      <c r="J53" s="701"/>
      <c r="K53" s="701"/>
      <c r="L53" s="702"/>
      <c r="M53" s="10"/>
      <c r="O53" s="18" t="s">
        <v>139</v>
      </c>
      <c r="P53" s="10" t="s">
        <v>140</v>
      </c>
    </row>
    <row r="54" spans="1:16" x14ac:dyDescent="0.25">
      <c r="B54" s="698"/>
      <c r="C54" s="699"/>
      <c r="D54" s="700"/>
      <c r="E54" s="701"/>
      <c r="F54" s="701"/>
      <c r="G54" s="701"/>
      <c r="H54" s="701"/>
      <c r="I54" s="701"/>
      <c r="J54" s="701"/>
      <c r="K54" s="701"/>
      <c r="L54" s="702"/>
      <c r="M54" s="10"/>
      <c r="O54" s="18"/>
    </row>
    <row r="55" spans="1:16" x14ac:dyDescent="0.25">
      <c r="B55" s="698"/>
      <c r="C55" s="699"/>
      <c r="D55" s="700"/>
      <c r="E55" s="701"/>
      <c r="F55" s="701"/>
      <c r="G55" s="701"/>
      <c r="H55" s="701"/>
      <c r="I55" s="701"/>
      <c r="J55" s="701"/>
      <c r="K55" s="701"/>
      <c r="L55" s="702"/>
      <c r="M55" s="10"/>
      <c r="O55" s="18"/>
    </row>
    <row r="56" spans="1:16" x14ac:dyDescent="0.25">
      <c r="B56" s="698"/>
      <c r="C56" s="699"/>
      <c r="D56" s="700"/>
      <c r="E56" s="701"/>
      <c r="F56" s="701"/>
      <c r="G56" s="701"/>
      <c r="H56" s="701"/>
      <c r="I56" s="701"/>
      <c r="J56" s="701"/>
      <c r="K56" s="701"/>
      <c r="L56" s="702"/>
      <c r="M56" s="10"/>
      <c r="O56" s="18"/>
    </row>
    <row r="57" spans="1:16" x14ac:dyDescent="0.25">
      <c r="B57" s="698"/>
      <c r="C57" s="699"/>
      <c r="D57" s="700"/>
      <c r="E57" s="701"/>
      <c r="F57" s="701"/>
      <c r="G57" s="701"/>
      <c r="H57" s="701"/>
      <c r="I57" s="701"/>
      <c r="J57" s="701"/>
      <c r="K57" s="701"/>
      <c r="L57" s="702"/>
      <c r="M57" s="10"/>
      <c r="O57" s="18"/>
    </row>
    <row r="58" spans="1:16" x14ac:dyDescent="0.25">
      <c r="B58" s="698"/>
      <c r="C58" s="699"/>
      <c r="D58" s="700"/>
      <c r="E58" s="701"/>
      <c r="F58" s="701"/>
      <c r="G58" s="701"/>
      <c r="H58" s="701"/>
      <c r="I58" s="701"/>
      <c r="J58" s="701"/>
      <c r="K58" s="701"/>
      <c r="L58" s="702"/>
      <c r="M58" s="10"/>
      <c r="O58" s="18"/>
    </row>
    <row r="59" spans="1:16" x14ac:dyDescent="0.25">
      <c r="B59" s="698"/>
      <c r="C59" s="699"/>
      <c r="D59" s="700"/>
      <c r="E59" s="701"/>
      <c r="F59" s="701"/>
      <c r="G59" s="701"/>
      <c r="H59" s="701"/>
      <c r="I59" s="701"/>
      <c r="J59" s="701"/>
      <c r="K59" s="701"/>
      <c r="L59" s="702"/>
      <c r="M59" s="10"/>
      <c r="O59" s="18"/>
    </row>
    <row r="60" spans="1:16" x14ac:dyDescent="0.25">
      <c r="B60" s="698"/>
      <c r="C60" s="699"/>
      <c r="D60" s="700"/>
      <c r="E60" s="701"/>
      <c r="F60" s="701"/>
      <c r="G60" s="701"/>
      <c r="H60" s="701"/>
      <c r="I60" s="701"/>
      <c r="J60" s="701"/>
      <c r="K60" s="701"/>
      <c r="L60" s="702"/>
      <c r="M60" s="10"/>
      <c r="O60" s="18"/>
    </row>
    <row r="61" spans="1:16" x14ac:dyDescent="0.25">
      <c r="B61" s="698"/>
      <c r="C61" s="699"/>
      <c r="D61" s="700"/>
      <c r="E61" s="701"/>
      <c r="F61" s="701"/>
      <c r="G61" s="701"/>
      <c r="H61" s="701"/>
      <c r="I61" s="701"/>
      <c r="J61" s="701"/>
      <c r="K61" s="701"/>
      <c r="L61" s="702"/>
      <c r="M61" s="10"/>
      <c r="O61" s="18"/>
    </row>
    <row r="62" spans="1:16" x14ac:dyDescent="0.25">
      <c r="B62" s="708"/>
      <c r="C62" s="709"/>
      <c r="D62" s="710"/>
      <c r="E62" s="711"/>
      <c r="F62" s="711"/>
      <c r="G62" s="711"/>
      <c r="H62" s="711"/>
      <c r="I62" s="711"/>
      <c r="J62" s="711"/>
      <c r="K62" s="711"/>
      <c r="L62" s="712"/>
      <c r="M62" s="10"/>
      <c r="O62" s="18"/>
    </row>
    <row r="63" spans="1:16" s="44" customFormat="1" x14ac:dyDescent="0.25">
      <c r="A63" s="76"/>
      <c r="B63" s="4"/>
      <c r="C63" s="77"/>
      <c r="D63" s="77"/>
      <c r="E63" s="77"/>
      <c r="F63" s="77"/>
      <c r="G63" s="77"/>
      <c r="H63" s="77"/>
      <c r="I63" s="77"/>
      <c r="J63" s="77"/>
      <c r="K63" s="77"/>
      <c r="L63" s="77"/>
      <c r="N63" s="78"/>
    </row>
  </sheetData>
  <sheetProtection algorithmName="SHA-512" hashValue="6UVZDB2MfowW/+Flp0sy90ACbQ033MPckUWp1kdN0yCd06W8oFk/ItZJ5i+ureIgMVYc6OPNyuQWyCWo8wbSoQ==" saltValue="f4Se4nsJYAoEi9nWLJu6Uw==" spinCount="100000" sheet="1" objects="1" scenarios="1" selectLockedCells="1"/>
  <mergeCells count="21">
    <mergeCell ref="B53:C62"/>
    <mergeCell ref="D53:D62"/>
    <mergeCell ref="E53:L62"/>
    <mergeCell ref="E23:L32"/>
    <mergeCell ref="B33:C42"/>
    <mergeCell ref="D33:D42"/>
    <mergeCell ref="E33:L42"/>
    <mergeCell ref="B43:C52"/>
    <mergeCell ref="D43:D52"/>
    <mergeCell ref="E43:L52"/>
    <mergeCell ref="B4:L4"/>
    <mergeCell ref="B5:L5"/>
    <mergeCell ref="B6:L6"/>
    <mergeCell ref="B10:L10"/>
    <mergeCell ref="B8:L8"/>
    <mergeCell ref="E12:L12"/>
    <mergeCell ref="B13:C22"/>
    <mergeCell ref="D13:D22"/>
    <mergeCell ref="E13:L22"/>
    <mergeCell ref="B23:C32"/>
    <mergeCell ref="D23:D3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B92FEF87-A425-4F02-8AC2-0EF59A6CC48F}">
      <formula1>1000</formula1>
    </dataValidation>
    <dataValidation allowBlank="1" showInputMessage="1" showErrorMessage="1" sqref="D13:D62" xr:uid="{0B10D565-8D89-4087-BA66-96508C314600}"/>
  </dataValidations>
  <printOptions horizontalCentered="1"/>
  <pageMargins left="0.25" right="0.25" top="0.75" bottom="0.75" header="0.3" footer="0.3"/>
  <pageSetup scale="63" fitToHeight="0" orientation="portrait" r:id="rId1"/>
  <headerFooter>
    <oddFooter>&amp;L&amp;A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54"/>
  <sheetViews>
    <sheetView showGridLines="0" zoomScaleNormal="100" workbookViewId="0">
      <selection activeCell="B42" sqref="B42:D42"/>
    </sheetView>
  </sheetViews>
  <sheetFormatPr defaultColWidth="9.140625" defaultRowHeight="14.25" x14ac:dyDescent="0.25"/>
  <cols>
    <col min="1" max="1" width="1.85546875" style="8" customWidth="1"/>
    <col min="2" max="12" width="14.5703125" style="1" customWidth="1"/>
    <col min="13" max="13" width="6.140625" style="9" customWidth="1"/>
    <col min="14" max="14" width="9.140625" style="10" customWidth="1"/>
    <col min="15" max="15" width="10.85546875" style="10" hidden="1" customWidth="1"/>
    <col min="16" max="16" width="8.85546875" style="10" hidden="1" customWidth="1"/>
    <col min="17" max="19" width="9.140625" style="10" customWidth="1"/>
    <col min="20" max="16384" width="9.140625" style="10"/>
  </cols>
  <sheetData>
    <row r="1" spans="1:16" x14ac:dyDescent="0.25">
      <c r="O1" s="10" t="s">
        <v>419</v>
      </c>
      <c r="P1" s="10" t="s">
        <v>419</v>
      </c>
    </row>
    <row r="2" spans="1:16" x14ac:dyDescent="0.25">
      <c r="B2" s="12" t="s">
        <v>66</v>
      </c>
      <c r="O2" s="161" t="s">
        <v>93</v>
      </c>
      <c r="P2" s="161" t="s">
        <v>109</v>
      </c>
    </row>
    <row r="3" spans="1:16" x14ac:dyDescent="0.25">
      <c r="B3" s="13"/>
      <c r="O3" s="2"/>
      <c r="P3" s="2"/>
    </row>
    <row r="4" spans="1:16" s="2" customFormat="1" x14ac:dyDescent="0.25">
      <c r="A4" s="4"/>
      <c r="B4" s="615" t="str">
        <f>Info!B4</f>
        <v>QUESTIONNAIRE À L'INTENTION DES IMPORTATEURS</v>
      </c>
      <c r="C4" s="616"/>
      <c r="D4" s="616"/>
      <c r="E4" s="616"/>
      <c r="F4" s="616"/>
      <c r="G4" s="616"/>
      <c r="H4" s="616"/>
      <c r="I4" s="616"/>
      <c r="J4" s="616"/>
      <c r="K4" s="616"/>
      <c r="L4" s="617"/>
      <c r="M4" s="25"/>
      <c r="N4" s="25"/>
      <c r="O4" s="19"/>
      <c r="P4" s="19"/>
    </row>
    <row r="5" spans="1:16" s="2" customFormat="1" x14ac:dyDescent="0.25">
      <c r="A5" s="4"/>
      <c r="B5" s="651" t="str">
        <f>Info!B5</f>
        <v>NQ-2026-001</v>
      </c>
      <c r="C5" s="652"/>
      <c r="D5" s="652"/>
      <c r="E5" s="652"/>
      <c r="F5" s="652"/>
      <c r="G5" s="652"/>
      <c r="H5" s="652"/>
      <c r="I5" s="652"/>
      <c r="J5" s="652"/>
      <c r="K5" s="652"/>
      <c r="L5" s="653"/>
      <c r="M5" s="25"/>
      <c r="N5" s="25"/>
      <c r="O5" s="19"/>
      <c r="P5" s="19"/>
    </row>
    <row r="6" spans="1:16" s="6" customFormat="1" ht="14.25" customHeight="1" x14ac:dyDescent="0.25">
      <c r="A6" s="4"/>
      <c r="B6" s="703" t="str">
        <f>Info!B6</f>
        <v>TUBAGES DE PUITS DE GAZ ET DE PÉTROLE</v>
      </c>
      <c r="C6" s="704"/>
      <c r="D6" s="704"/>
      <c r="E6" s="704"/>
      <c r="F6" s="704"/>
      <c r="G6" s="704"/>
      <c r="H6" s="704"/>
      <c r="I6" s="704"/>
      <c r="J6" s="704"/>
      <c r="K6" s="704"/>
      <c r="L6" s="705"/>
      <c r="M6" s="19"/>
      <c r="N6" s="19"/>
      <c r="O6" s="15"/>
      <c r="P6" s="15"/>
    </row>
    <row r="7" spans="1:16" s="6" customFormat="1" x14ac:dyDescent="0.25">
      <c r="A7" s="4"/>
      <c r="B7" s="14"/>
      <c r="C7" s="3"/>
      <c r="D7" s="3"/>
      <c r="E7" s="3"/>
      <c r="F7" s="3"/>
      <c r="G7" s="3"/>
      <c r="H7" s="3"/>
      <c r="I7" s="3"/>
      <c r="J7" s="3"/>
      <c r="K7" s="3"/>
      <c r="L7" s="3"/>
      <c r="O7" s="15"/>
      <c r="P7" s="15"/>
    </row>
    <row r="8" spans="1:16" x14ac:dyDescent="0.25">
      <c r="B8" s="533" t="str">
        <f>IF(Intro!$G$20="English",O8,P8)</f>
        <v>CONFIRMATION DES DONNÉES DÉCLARÉES</v>
      </c>
      <c r="C8" s="534"/>
      <c r="D8" s="534"/>
      <c r="E8" s="534"/>
      <c r="F8" s="534"/>
      <c r="G8" s="534"/>
      <c r="H8" s="534"/>
      <c r="I8" s="534"/>
      <c r="J8" s="534"/>
      <c r="K8" s="534"/>
      <c r="L8" s="535"/>
      <c r="M8" s="10"/>
      <c r="O8" s="10" t="s">
        <v>60</v>
      </c>
      <c r="P8" s="10" t="s">
        <v>29</v>
      </c>
    </row>
    <row r="9" spans="1:16" x14ac:dyDescent="0.25">
      <c r="B9" s="533" t="str">
        <f>IF(Intro!$G$20="English",O9,P9)</f>
        <v>GÉNÉRAL</v>
      </c>
      <c r="C9" s="534"/>
      <c r="D9" s="534"/>
      <c r="E9" s="534"/>
      <c r="F9" s="534"/>
      <c r="G9" s="534"/>
      <c r="H9" s="534"/>
      <c r="I9" s="534"/>
      <c r="J9" s="534"/>
      <c r="K9" s="534"/>
      <c r="L9" s="535"/>
      <c r="M9" s="10"/>
      <c r="O9" s="105" t="s">
        <v>346</v>
      </c>
      <c r="P9" s="105" t="s">
        <v>347</v>
      </c>
    </row>
    <row r="10" spans="1:16" x14ac:dyDescent="0.25">
      <c r="B10" s="74"/>
      <c r="C10" s="75"/>
      <c r="D10" s="75"/>
      <c r="E10" s="75"/>
      <c r="F10" s="75"/>
      <c r="G10" s="75"/>
      <c r="H10" s="75"/>
      <c r="I10" s="75"/>
      <c r="J10" s="75"/>
      <c r="K10" s="75"/>
      <c r="L10" s="58"/>
      <c r="M10" s="10"/>
    </row>
    <row r="11" spans="1:16" s="9" customFormat="1" x14ac:dyDescent="0.25">
      <c r="A11" s="159"/>
      <c r="B11" s="192"/>
      <c r="C11" s="1"/>
      <c r="D11" s="1"/>
      <c r="E11" s="1"/>
      <c r="F11" s="1"/>
      <c r="G11" s="1"/>
      <c r="H11" s="1"/>
      <c r="I11" s="1"/>
      <c r="J11" s="204" t="str">
        <f>IF(Intro!$G$20="English",O11,P11)</f>
        <v>Sélectionnez oui ou non</v>
      </c>
      <c r="K11" s="1"/>
      <c r="L11" s="160"/>
      <c r="O11" s="9" t="s">
        <v>177</v>
      </c>
      <c r="P11" s="9" t="s">
        <v>395</v>
      </c>
    </row>
    <row r="12" spans="1:16" s="38" customFormat="1" x14ac:dyDescent="0.25">
      <c r="A12" s="49"/>
      <c r="B12" s="567" t="str">
        <f>IF(Intro!$G$20="English",O12,P12)</f>
        <v>Confirmez que toutes les données déclarées dans ce questionnaire concernent les marchandises telles que définies dans l’onglet « Intro ».</v>
      </c>
      <c r="C12" s="568"/>
      <c r="D12" s="568"/>
      <c r="E12" s="568"/>
      <c r="F12" s="568"/>
      <c r="G12" s="568"/>
      <c r="H12" s="568"/>
      <c r="I12" s="568"/>
      <c r="J12" s="162"/>
      <c r="K12" s="1"/>
      <c r="L12" s="54"/>
      <c r="O12" s="38" t="s">
        <v>407</v>
      </c>
      <c r="P12" s="38" t="s">
        <v>408</v>
      </c>
    </row>
    <row r="13" spans="1:16" s="38" customFormat="1" x14ac:dyDescent="0.25">
      <c r="A13" s="49"/>
      <c r="B13" s="567" t="str">
        <f>IF(Intro!$G$20="English",O13,P13)</f>
        <v>Confirmez que tous les volumes déclarés dans ce questionnaire sont en tonnes.</v>
      </c>
      <c r="C13" s="568"/>
      <c r="D13" s="568"/>
      <c r="E13" s="568"/>
      <c r="F13" s="568"/>
      <c r="G13" s="568"/>
      <c r="H13" s="568"/>
      <c r="I13" s="568"/>
      <c r="J13" s="142"/>
      <c r="K13" s="1"/>
      <c r="L13" s="71"/>
      <c r="O13" s="38" t="str">
        <f>"Confirm that all volumes reported in this questionnaire are in "&amp;(Variables!B23)&amp;"."</f>
        <v>Confirm that all volumes reported in this questionnaire are in tonnes.</v>
      </c>
      <c r="P13" s="38" t="str">
        <f>"Confirmez que tous les volumes déclarés dans ce questionnaire sont en "&amp;(Variables!C23)&amp;"."</f>
        <v>Confirmez que tous les volumes déclarés dans ce questionnaire sont en tonnes.</v>
      </c>
    </row>
    <row r="14" spans="1:16" s="38" customFormat="1" x14ac:dyDescent="0.25">
      <c r="A14" s="49"/>
      <c r="B14" s="567" t="str">
        <f>IF(Intro!$G$20="English",O14,P14)</f>
        <v>Confirmez que toutes les valeurs déclarées dans ce questionnaire sont en dollars canadiens.</v>
      </c>
      <c r="C14" s="568" t="str">
        <f>IF(SUM(Pro!E19:E19)&lt;&gt;0,"X","-")</f>
        <v>-</v>
      </c>
      <c r="D14" s="568" t="str">
        <f>IF(SUM(Pro!F19:F19)&lt;&gt;0,"X","-")</f>
        <v>-</v>
      </c>
      <c r="E14" s="568" t="str">
        <f>IF(SUM(Pro!G19:G19)&lt;&gt;0,"X","-")</f>
        <v>-</v>
      </c>
      <c r="F14" s="568" t="str">
        <f>IF(SUM(Pro!H19:H19)&lt;&gt;0,"X","-")</f>
        <v>-</v>
      </c>
      <c r="G14" s="568" t="str">
        <f>IF(SUM(Pro!I19:I19)&lt;&gt;0,"X","-")</f>
        <v>-</v>
      </c>
      <c r="H14" s="568"/>
      <c r="I14" s="568"/>
      <c r="J14" s="142"/>
      <c r="K14" s="1"/>
      <c r="L14" s="71"/>
      <c r="O14" s="38" t="s">
        <v>216</v>
      </c>
      <c r="P14" s="38" t="s">
        <v>215</v>
      </c>
    </row>
    <row r="15" spans="1:16" s="38" customFormat="1" x14ac:dyDescent="0.25">
      <c r="A15" s="49"/>
      <c r="B15" s="567" t="str">
        <f>IF(Intro!$G$20="English",O15,P15)</f>
        <v>Confirmez que tous les renseignements déclarés le sont selon l’année civile.</v>
      </c>
      <c r="C15" s="568" t="e">
        <f>IF(SUM(Pro!#REF!)&lt;&gt;0,"X","-")</f>
        <v>#REF!</v>
      </c>
      <c r="D15" s="568" t="e">
        <f>IF(SUM(Pro!#REF!)&lt;&gt;0,"X","-")</f>
        <v>#REF!</v>
      </c>
      <c r="E15" s="568" t="e">
        <f>IF(SUM(Pro!#REF!)&lt;&gt;0,"X","-")</f>
        <v>#REF!</v>
      </c>
      <c r="F15" s="568" t="e">
        <f>IF(SUM(Pro!#REF!)&lt;&gt;0,"X","-")</f>
        <v>#REF!</v>
      </c>
      <c r="G15" s="568" t="e">
        <f>IF(SUM(Pro!#REF!)&lt;&gt;0,"X","-")</f>
        <v>#REF!</v>
      </c>
      <c r="H15" s="568"/>
      <c r="I15" s="568"/>
      <c r="J15" s="142"/>
      <c r="K15" s="1"/>
      <c r="L15" s="54"/>
      <c r="O15" s="38" t="s">
        <v>89</v>
      </c>
      <c r="P15" s="38" t="s">
        <v>90</v>
      </c>
    </row>
    <row r="16" spans="1:16" x14ac:dyDescent="0.25">
      <c r="B16" s="74"/>
      <c r="C16" s="75"/>
      <c r="D16" s="75"/>
      <c r="E16" s="75"/>
      <c r="F16" s="75"/>
      <c r="G16" s="75"/>
      <c r="H16" s="75"/>
      <c r="I16" s="75"/>
      <c r="J16" s="75"/>
      <c r="K16" s="75"/>
      <c r="L16" s="58"/>
      <c r="M16" s="10"/>
    </row>
    <row r="17" spans="1:16" x14ac:dyDescent="0.25">
      <c r="B17" s="530" t="str">
        <f>IF(Intro!$G$20="English",O17,P17)</f>
        <v>Si non, expliquez.</v>
      </c>
      <c r="C17" s="531"/>
      <c r="D17" s="531"/>
      <c r="E17" s="531"/>
      <c r="F17" s="531"/>
      <c r="G17" s="531"/>
      <c r="H17" s="531"/>
      <c r="I17" s="531"/>
      <c r="J17" s="531"/>
      <c r="K17" s="531"/>
      <c r="L17" s="532"/>
      <c r="M17" s="10"/>
      <c r="O17" s="55" t="s">
        <v>373</v>
      </c>
      <c r="P17" s="6" t="s">
        <v>374</v>
      </c>
    </row>
    <row r="18" spans="1:16" s="38" customFormat="1" x14ac:dyDescent="0.25">
      <c r="A18" s="49"/>
      <c r="B18" s="53"/>
      <c r="C18" s="144"/>
      <c r="D18" s="144"/>
      <c r="E18" s="144"/>
      <c r="F18" s="144"/>
      <c r="G18" s="144"/>
      <c r="H18" s="144"/>
      <c r="I18" s="144"/>
      <c r="J18" s="144"/>
      <c r="K18" s="144"/>
      <c r="L18" s="54"/>
      <c r="O18" s="6"/>
      <c r="P18" s="6"/>
    </row>
    <row r="19" spans="1:16" s="11" customFormat="1" x14ac:dyDescent="0.25">
      <c r="A19" s="8"/>
      <c r="B19" s="663"/>
      <c r="C19" s="811"/>
      <c r="D19" s="811"/>
      <c r="E19" s="811"/>
      <c r="F19" s="811"/>
      <c r="G19" s="811"/>
      <c r="H19" s="811"/>
      <c r="I19" s="811"/>
      <c r="J19" s="811"/>
      <c r="K19" s="811"/>
      <c r="L19" s="665"/>
      <c r="M19" s="38"/>
      <c r="O19" s="145"/>
      <c r="P19" s="145"/>
    </row>
    <row r="20" spans="1:16" s="11" customFormat="1" x14ac:dyDescent="0.25">
      <c r="A20" s="8"/>
      <c r="B20" s="663"/>
      <c r="C20" s="811"/>
      <c r="D20" s="811"/>
      <c r="E20" s="811"/>
      <c r="F20" s="811"/>
      <c r="G20" s="811"/>
      <c r="H20" s="811"/>
      <c r="I20" s="811"/>
      <c r="J20" s="811"/>
      <c r="K20" s="811"/>
      <c r="L20" s="665"/>
      <c r="M20" s="38"/>
      <c r="O20" s="145"/>
      <c r="P20" s="145"/>
    </row>
    <row r="21" spans="1:16" s="11" customFormat="1" x14ac:dyDescent="0.25">
      <c r="A21" s="8"/>
      <c r="B21" s="663"/>
      <c r="C21" s="811"/>
      <c r="D21" s="811"/>
      <c r="E21" s="811"/>
      <c r="F21" s="811"/>
      <c r="G21" s="811"/>
      <c r="H21" s="811"/>
      <c r="I21" s="811"/>
      <c r="J21" s="811"/>
      <c r="K21" s="811"/>
      <c r="L21" s="665"/>
      <c r="M21" s="38"/>
      <c r="O21" s="145"/>
      <c r="P21" s="145"/>
    </row>
    <row r="22" spans="1:16" s="11" customFormat="1" x14ac:dyDescent="0.25">
      <c r="A22" s="8"/>
      <c r="B22" s="663"/>
      <c r="C22" s="811"/>
      <c r="D22" s="811"/>
      <c r="E22" s="811"/>
      <c r="F22" s="811"/>
      <c r="G22" s="811"/>
      <c r="H22" s="811"/>
      <c r="I22" s="811"/>
      <c r="J22" s="811"/>
      <c r="K22" s="811"/>
      <c r="L22" s="665"/>
      <c r="M22" s="38"/>
      <c r="O22" s="145"/>
      <c r="P22" s="145"/>
    </row>
    <row r="23" spans="1:16" s="11" customFormat="1" x14ac:dyDescent="0.25">
      <c r="A23" s="8"/>
      <c r="B23" s="663"/>
      <c r="C23" s="811"/>
      <c r="D23" s="811"/>
      <c r="E23" s="811"/>
      <c r="F23" s="811"/>
      <c r="G23" s="811"/>
      <c r="H23" s="811"/>
      <c r="I23" s="811"/>
      <c r="J23" s="811"/>
      <c r="K23" s="811"/>
      <c r="L23" s="665"/>
      <c r="M23" s="38"/>
      <c r="O23" s="145"/>
      <c r="P23" s="145"/>
    </row>
    <row r="24" spans="1:16" s="11" customFormat="1" x14ac:dyDescent="0.25">
      <c r="A24" s="8"/>
      <c r="B24" s="663"/>
      <c r="C24" s="811"/>
      <c r="D24" s="811"/>
      <c r="E24" s="811"/>
      <c r="F24" s="811"/>
      <c r="G24" s="811"/>
      <c r="H24" s="811"/>
      <c r="I24" s="811"/>
      <c r="J24" s="811"/>
      <c r="K24" s="811"/>
      <c r="L24" s="665"/>
      <c r="M24" s="38"/>
      <c r="O24" s="145"/>
      <c r="P24" s="145"/>
    </row>
    <row r="25" spans="1:16" s="11" customFormat="1" x14ac:dyDescent="0.25">
      <c r="A25" s="8"/>
      <c r="B25" s="663"/>
      <c r="C25" s="811"/>
      <c r="D25" s="811"/>
      <c r="E25" s="811"/>
      <c r="F25" s="811"/>
      <c r="G25" s="811"/>
      <c r="H25" s="811"/>
      <c r="I25" s="811"/>
      <c r="J25" s="811"/>
      <c r="K25" s="811"/>
      <c r="L25" s="665"/>
      <c r="M25" s="38"/>
      <c r="O25" s="145"/>
      <c r="P25" s="145"/>
    </row>
    <row r="26" spans="1:16" s="11" customFormat="1" x14ac:dyDescent="0.25">
      <c r="A26" s="8"/>
      <c r="B26" s="663"/>
      <c r="C26" s="811"/>
      <c r="D26" s="811"/>
      <c r="E26" s="811"/>
      <c r="F26" s="811"/>
      <c r="G26" s="811"/>
      <c r="H26" s="811"/>
      <c r="I26" s="811"/>
      <c r="J26" s="811"/>
      <c r="K26" s="811"/>
      <c r="L26" s="665"/>
      <c r="M26" s="38"/>
      <c r="O26" s="145"/>
      <c r="P26" s="145"/>
    </row>
    <row r="27" spans="1:16" x14ac:dyDescent="0.25">
      <c r="B27" s="74"/>
      <c r="C27" s="40"/>
      <c r="D27" s="40"/>
      <c r="E27" s="40"/>
      <c r="F27" s="40"/>
      <c r="G27" s="40"/>
      <c r="H27" s="40"/>
      <c r="I27" s="40"/>
      <c r="J27" s="40"/>
      <c r="K27" s="40"/>
      <c r="L27" s="58"/>
      <c r="M27" s="10"/>
    </row>
    <row r="28" spans="1:16" x14ac:dyDescent="0.25">
      <c r="B28" s="533" t="str">
        <f>IF(Intro!$G$20="English",O28,P28)</f>
        <v>IMPORTATIONS ET VENTES</v>
      </c>
      <c r="C28" s="534"/>
      <c r="D28" s="534"/>
      <c r="E28" s="534"/>
      <c r="F28" s="534"/>
      <c r="G28" s="534"/>
      <c r="H28" s="534"/>
      <c r="I28" s="534"/>
      <c r="J28" s="534"/>
      <c r="K28" s="534"/>
      <c r="L28" s="535"/>
      <c r="M28" s="10"/>
      <c r="O28" s="105" t="s">
        <v>333</v>
      </c>
      <c r="P28" s="105" t="s">
        <v>334</v>
      </c>
    </row>
    <row r="29" spans="1:16" x14ac:dyDescent="0.25">
      <c r="B29" s="74"/>
      <c r="C29" s="75"/>
      <c r="D29" s="75"/>
      <c r="E29" s="75"/>
      <c r="F29" s="75"/>
      <c r="G29" s="75"/>
      <c r="H29" s="75"/>
      <c r="I29" s="75"/>
      <c r="J29" s="75"/>
      <c r="K29" s="75"/>
      <c r="L29" s="58"/>
      <c r="M29" s="10"/>
    </row>
    <row r="30" spans="1:16" x14ac:dyDescent="0.25">
      <c r="B30" s="527" t="str">
        <f>IF(Intro!$G$20="English",O30,P30)</f>
        <v>Les informations publiques/non confidentielles de ce tableau sont automatiquement générées à partir des informations fournies dans les onglets "Imp" et l'onglet "Invent-Stock". Toute modification de ce résumé public doit donc être effectuée dans ces onglets.</v>
      </c>
      <c r="C30" s="528"/>
      <c r="D30" s="528"/>
      <c r="E30" s="528"/>
      <c r="F30" s="528"/>
      <c r="G30" s="528"/>
      <c r="H30" s="528"/>
      <c r="I30" s="528"/>
      <c r="J30" s="528"/>
      <c r="K30" s="528"/>
      <c r="L30" s="529"/>
      <c r="M30" s="10"/>
      <c r="O30" s="10" t="s">
        <v>357</v>
      </c>
      <c r="P30" s="10" t="s">
        <v>176</v>
      </c>
    </row>
    <row r="31" spans="1:16" x14ac:dyDescent="0.25">
      <c r="B31" s="527"/>
      <c r="C31" s="528"/>
      <c r="D31" s="528"/>
      <c r="E31" s="528"/>
      <c r="F31" s="528"/>
      <c r="G31" s="528"/>
      <c r="H31" s="528"/>
      <c r="I31" s="528"/>
      <c r="J31" s="528"/>
      <c r="K31" s="528"/>
      <c r="L31" s="529"/>
      <c r="M31" s="10"/>
    </row>
    <row r="32" spans="1:16" x14ac:dyDescent="0.25">
      <c r="B32" s="74"/>
      <c r="C32" s="75"/>
      <c r="D32" s="75"/>
      <c r="E32" s="75"/>
      <c r="F32" s="75"/>
      <c r="G32" s="75"/>
      <c r="H32" s="75"/>
      <c r="I32" s="75"/>
      <c r="J32" s="75"/>
      <c r="K32" s="75"/>
      <c r="L32" s="58"/>
      <c r="M32" s="10"/>
    </row>
    <row r="33" spans="1:16" x14ac:dyDescent="0.25">
      <c r="B33" s="61"/>
      <c r="D33" s="111"/>
      <c r="E33" s="724">
        <f>Variables!B6</f>
        <v>2023</v>
      </c>
      <c r="F33" s="724">
        <f>E33+1</f>
        <v>2024</v>
      </c>
      <c r="G33" s="724">
        <f>F33+1</f>
        <v>2025</v>
      </c>
      <c r="H33" s="724" t="str">
        <f>IF(Intro!$G$20="English",Variables!B9,Variables!C9)</f>
        <v>janv.-mars 2025</v>
      </c>
      <c r="I33" s="724" t="str">
        <f>IF(Intro!$G$20="English",Variables!B10,Variables!C10)</f>
        <v>janv.-mars 2026</v>
      </c>
      <c r="J33" s="88"/>
      <c r="K33" s="88"/>
      <c r="L33" s="71"/>
      <c r="M33" s="10"/>
      <c r="O33" s="18"/>
    </row>
    <row r="34" spans="1:16" x14ac:dyDescent="0.25">
      <c r="B34" s="113"/>
      <c r="D34" s="111"/>
      <c r="E34" s="724"/>
      <c r="F34" s="724"/>
      <c r="G34" s="724"/>
      <c r="H34" s="724"/>
      <c r="I34" s="724"/>
      <c r="J34" s="88"/>
      <c r="K34" s="88"/>
      <c r="L34" s="71"/>
      <c r="M34" s="10"/>
      <c r="O34" s="18"/>
    </row>
    <row r="35" spans="1:16" s="38" customFormat="1" x14ac:dyDescent="0.25">
      <c r="A35" s="49"/>
      <c r="B35" s="84"/>
      <c r="C35" s="85"/>
      <c r="D35" s="139" t="str">
        <f>IF(Intro!$G$20="English","Imports from "&amp;Variables!B49,"Importations de "&amp;Variables!C49)</f>
        <v>Importations de Autriche</v>
      </c>
      <c r="E35" s="141" t="str">
        <f>IF(SUM(Begin:End!G$26)&lt;&gt;0,"X","-")</f>
        <v>-</v>
      </c>
      <c r="F35" s="141" t="str">
        <f>IF(SUM(Begin:End!H$26)&lt;&gt;0,"X","-")</f>
        <v>-</v>
      </c>
      <c r="G35" s="141" t="str">
        <f>IF(SUM(Begin:End!I$26)&lt;&gt;0,"X","-")</f>
        <v>-</v>
      </c>
      <c r="H35" s="141" t="str">
        <f>IF(SUM(Begin:End!J$26)&lt;&gt;0,"X","-")</f>
        <v>-</v>
      </c>
      <c r="I35" s="141" t="str">
        <f>IF(SUM(Begin:End!K$26)&lt;&gt;0,"X","-")</f>
        <v>-</v>
      </c>
      <c r="J35" s="88"/>
      <c r="K35" s="88"/>
      <c r="L35" s="71"/>
    </row>
    <row r="36" spans="1:16" s="38" customFormat="1" x14ac:dyDescent="0.25">
      <c r="A36" s="49"/>
      <c r="B36" s="255"/>
      <c r="C36" s="256"/>
      <c r="D36" s="257" t="str">
        <f>IF(Intro!$G$20="English","Imports from "&amp;Variables!B54,"Importations de "&amp;Variables!C54)</f>
        <v>Importations de Mexique</v>
      </c>
      <c r="E36" s="141" t="str">
        <f>IF(SUM('Imp-Mex'!G26)&lt;&gt;0,"X","-")</f>
        <v>-</v>
      </c>
      <c r="F36" s="141" t="str">
        <f>IF(SUM('Imp-Mex'!H26)&lt;&gt;0,"X","-")</f>
        <v>-</v>
      </c>
      <c r="G36" s="141" t="str">
        <f>IF(SUM('Imp-Mex'!I26)&lt;&gt;0,"X","-")</f>
        <v>-</v>
      </c>
      <c r="H36" s="141" t="str">
        <f>IF(SUM('Imp-Mex'!J26)&lt;&gt;0,"X","-")</f>
        <v>-</v>
      </c>
      <c r="I36" s="141" t="str">
        <f>IF(SUM('Imp-Mex'!K26)&lt;&gt;0,"X","-")</f>
        <v>-</v>
      </c>
      <c r="J36" s="88"/>
      <c r="K36" s="88"/>
      <c r="L36" s="71"/>
    </row>
    <row r="37" spans="1:16" s="38" customFormat="1" x14ac:dyDescent="0.25">
      <c r="A37" s="49"/>
      <c r="B37" s="84"/>
      <c r="C37" s="85"/>
      <c r="D37" s="139" t="str">
        <f>IF(Intro!$G$20="English","Imports from "&amp;Variables!B50,"Importations de "&amp;Variables!C50)</f>
        <v>Importations de États-Unis d'Amérique</v>
      </c>
      <c r="E37" s="141" t="str">
        <f>IF(SUM('Imp-US'!G26)&lt;&gt;0,"X","-")</f>
        <v>-</v>
      </c>
      <c r="F37" s="141" t="str">
        <f>IF(SUM('Imp-US'!H26)&lt;&gt;0,"X","-")</f>
        <v>-</v>
      </c>
      <c r="G37" s="141" t="str">
        <f>IF(SUM('Imp-US'!I26)&lt;&gt;0,"X","-")</f>
        <v>-</v>
      </c>
      <c r="H37" s="141" t="str">
        <f>IF(SUM('Imp-US'!J26)&lt;&gt;0,"X","-")</f>
        <v>-</v>
      </c>
      <c r="I37" s="141" t="str">
        <f>IF(SUM('Imp-US'!K26)&lt;&gt;0,"X","-")</f>
        <v>-</v>
      </c>
      <c r="J37" s="88"/>
      <c r="K37" s="88"/>
      <c r="L37" s="71"/>
    </row>
    <row r="38" spans="1:16" s="38" customFormat="1" x14ac:dyDescent="0.25">
      <c r="A38" s="49"/>
      <c r="B38" s="807" t="str">
        <f>IF(Intro!$G$20="English","Imports from Other countries","Importations d'autre pays ")</f>
        <v xml:space="preserve">Importations d'autre pays </v>
      </c>
      <c r="C38" s="808"/>
      <c r="D38" s="809"/>
      <c r="E38" s="141" t="str">
        <f>IF(SUM('Imp-Other -Autre'!G26)&lt;&gt;0,"X","-")</f>
        <v>-</v>
      </c>
      <c r="F38" s="141" t="str">
        <f>IF(SUM('Imp-Other -Autre'!H26)&lt;&gt;0,"X","-")</f>
        <v>-</v>
      </c>
      <c r="G38" s="141" t="str">
        <f>IF(SUM('Imp-Other -Autre'!I26)&lt;&gt;0,"X","-")</f>
        <v>-</v>
      </c>
      <c r="H38" s="141" t="str">
        <f>IF(SUM('Imp-Other -Autre'!J26)&lt;&gt;0,"X","-")</f>
        <v>-</v>
      </c>
      <c r="I38" s="141" t="str">
        <f>IF(SUM('Imp-Other -Autre'!K26)&lt;&gt;0,"X","-")</f>
        <v>-</v>
      </c>
      <c r="J38" s="88"/>
      <c r="K38" s="88"/>
      <c r="L38" s="71"/>
    </row>
    <row r="39" spans="1:16" s="38" customFormat="1" x14ac:dyDescent="0.25">
      <c r="A39" s="49"/>
      <c r="B39" s="109"/>
      <c r="C39" s="110"/>
      <c r="D39" s="258" t="str">
        <f>'Imp-Other -Autre'!B22</f>
        <v xml:space="preserve">Autres pays incluent : </v>
      </c>
      <c r="E39" s="810" t="str">
        <f>IF('Imp-Other -Autre'!G22="","-",'Imp-Other -Autre'!G22)</f>
        <v>-</v>
      </c>
      <c r="F39" s="810"/>
      <c r="G39" s="810"/>
      <c r="H39" s="810"/>
      <c r="I39" s="810"/>
      <c r="J39" s="88"/>
      <c r="K39" s="88"/>
      <c r="L39" s="71"/>
    </row>
    <row r="40" spans="1:16" s="38" customFormat="1" x14ac:dyDescent="0.25">
      <c r="A40" s="49"/>
      <c r="B40" s="109"/>
      <c r="C40" s="110"/>
      <c r="D40" s="140"/>
      <c r="E40" s="810"/>
      <c r="F40" s="810"/>
      <c r="G40" s="810"/>
      <c r="H40" s="810"/>
      <c r="I40" s="810"/>
      <c r="J40" s="88"/>
      <c r="K40" s="88"/>
      <c r="L40" s="71"/>
    </row>
    <row r="41" spans="1:16" s="38" customFormat="1" x14ac:dyDescent="0.25">
      <c r="A41" s="49"/>
      <c r="B41" s="109"/>
      <c r="C41" s="110"/>
      <c r="D41" s="140"/>
      <c r="E41" s="810"/>
      <c r="F41" s="810"/>
      <c r="G41" s="810"/>
      <c r="H41" s="810"/>
      <c r="I41" s="810"/>
      <c r="J41" s="88"/>
      <c r="K41" s="88"/>
      <c r="L41" s="71"/>
    </row>
    <row r="42" spans="1:16" s="38" customFormat="1" ht="97.5" customHeight="1" x14ac:dyDescent="0.25">
      <c r="A42" s="49"/>
      <c r="B42" s="807" t="str">
        <f>IF(Intro!$G$20="English","Imports from other countries with measures in force "&amp;Variables!B52,"Importations d'autre pays avec mesures en vigueur ")</f>
        <v xml:space="preserve">Importations d'autre pays avec mesures en vigueur </v>
      </c>
      <c r="C42" s="808"/>
      <c r="D42" s="809"/>
      <c r="E42" s="141" t="str">
        <f>IF(SUM('Other Measures|Autre Mesures'!G26)&lt;&gt;0,"X","-")</f>
        <v>-</v>
      </c>
      <c r="F42" s="141" t="str">
        <f>IF(SUM('Other Measures|Autre Mesures'!H26)&lt;&gt;0,"X","-")</f>
        <v>-</v>
      </c>
      <c r="G42" s="141" t="str">
        <f>IF(SUM('Other Measures|Autre Mesures'!I26)&lt;&gt;0,"X","-")</f>
        <v>-</v>
      </c>
      <c r="H42" s="141" t="str">
        <f>IF(SUM('Other Measures|Autre Mesures'!J26)&lt;&gt;0,"X","-")</f>
        <v>-</v>
      </c>
      <c r="I42" s="141" t="str">
        <f>IF(SUM('Other Measures|Autre Mesures'!K26)&lt;&gt;0,"X","-")</f>
        <v>-</v>
      </c>
      <c r="J42" s="88"/>
      <c r="K42" s="88"/>
      <c r="L42" s="71"/>
      <c r="O42" s="38" t="s">
        <v>546</v>
      </c>
      <c r="P42" s="38" t="s">
        <v>532</v>
      </c>
    </row>
    <row r="43" spans="1:16" s="38" customFormat="1" x14ac:dyDescent="0.25">
      <c r="A43" s="49"/>
      <c r="B43" s="109"/>
      <c r="C43" s="110"/>
      <c r="D43" s="140"/>
      <c r="E43" s="75"/>
      <c r="F43" s="75"/>
      <c r="G43" s="75"/>
      <c r="H43" s="75"/>
      <c r="I43" s="75"/>
      <c r="J43" s="88"/>
      <c r="K43" s="88"/>
      <c r="L43" s="71"/>
    </row>
    <row r="44" spans="1:16" s="38" customFormat="1" x14ac:dyDescent="0.25">
      <c r="A44" s="49"/>
      <c r="B44" s="109"/>
      <c r="C44" s="110"/>
      <c r="D44" s="228" t="str">
        <f>IF(Intro!$G$20="English",O44,P44)</f>
        <v>Sans soudure</v>
      </c>
      <c r="E44" s="75"/>
      <c r="F44" s="75"/>
      <c r="G44" s="75"/>
      <c r="H44" s="75"/>
      <c r="I44" s="75"/>
      <c r="J44" s="88"/>
      <c r="K44" s="88"/>
      <c r="L44" s="71"/>
      <c r="O44" s="26" t="s">
        <v>485</v>
      </c>
      <c r="P44" s="207" t="s">
        <v>508</v>
      </c>
    </row>
    <row r="45" spans="1:16" s="38" customFormat="1" x14ac:dyDescent="0.25">
      <c r="A45" s="49"/>
      <c r="B45" s="84"/>
      <c r="C45" s="85"/>
      <c r="D45" s="139" t="str">
        <f>'Imp-Aus'!B31</f>
        <v>Ventes aux distributeurs au Canada</v>
      </c>
      <c r="E45" s="141" t="str">
        <f>IF(SUM('Begin:End2'!G31)&lt;&gt;0,"X","-")</f>
        <v>-</v>
      </c>
      <c r="F45" s="141" t="str">
        <f>IF(SUM('Begin:End2'!H31)&lt;&gt;0,"X","-")</f>
        <v>-</v>
      </c>
      <c r="G45" s="141" t="str">
        <f>IF(SUM('Begin:End2'!I31)&lt;&gt;0,"X","-")</f>
        <v>-</v>
      </c>
      <c r="H45" s="141" t="str">
        <f>IF(SUM('Begin:End2'!J31)&lt;&gt;0,"X","-")</f>
        <v>-</v>
      </c>
      <c r="I45" s="141" t="str">
        <f>IF(SUM('Begin:End2'!K31)&lt;&gt;0,"X","-")</f>
        <v>-</v>
      </c>
      <c r="J45" s="88"/>
      <c r="K45" s="88"/>
      <c r="L45" s="71"/>
    </row>
    <row r="46" spans="1:16" s="38" customFormat="1" x14ac:dyDescent="0.25">
      <c r="A46" s="49"/>
      <c r="B46" s="84"/>
      <c r="C46" s="85"/>
      <c r="D46" s="139" t="str">
        <f>'Imp-Aus'!B34</f>
        <v>Ventes aux utilisateurs finals au Canada</v>
      </c>
      <c r="E46" s="141" t="str">
        <f>IF(SUM('Begin:End2'!G34)&lt;&gt;0,"X","-")</f>
        <v>-</v>
      </c>
      <c r="F46" s="141" t="str">
        <f>IF(SUM('Begin:End2'!H34)&lt;&gt;0,"X","-")</f>
        <v>-</v>
      </c>
      <c r="G46" s="141" t="str">
        <f>IF(SUM('Begin:End2'!I34)&lt;&gt;0,"X","-")</f>
        <v>-</v>
      </c>
      <c r="H46" s="141" t="str">
        <f>IF(SUM('Begin:End2'!J34)&lt;&gt;0,"X","-")</f>
        <v>-</v>
      </c>
      <c r="I46" s="141" t="str">
        <f>IF(SUM('Begin:End2'!K34)&lt;&gt;0,"X","-")</f>
        <v>-</v>
      </c>
      <c r="J46" s="88"/>
      <c r="K46" s="88"/>
      <c r="L46" s="71"/>
    </row>
    <row r="47" spans="1:16" s="38" customFormat="1" x14ac:dyDescent="0.25">
      <c r="A47" s="49"/>
      <c r="B47" s="221"/>
      <c r="C47" s="222"/>
      <c r="D47" s="223"/>
      <c r="E47" s="75"/>
      <c r="F47" s="75"/>
      <c r="G47" s="75"/>
      <c r="H47" s="75"/>
      <c r="I47" s="75"/>
      <c r="J47" s="88"/>
      <c r="K47" s="88"/>
      <c r="L47" s="71"/>
    </row>
    <row r="48" spans="1:16" s="38" customFormat="1" x14ac:dyDescent="0.25">
      <c r="A48" s="49"/>
      <c r="B48" s="221"/>
      <c r="C48" s="222"/>
      <c r="D48" s="223"/>
      <c r="E48" s="75"/>
      <c r="F48" s="75"/>
      <c r="G48" s="75"/>
      <c r="H48" s="75"/>
      <c r="I48" s="75"/>
      <c r="J48" s="88"/>
      <c r="K48" s="88"/>
      <c r="L48" s="71"/>
    </row>
    <row r="49" spans="1:16" s="38" customFormat="1" x14ac:dyDescent="0.25">
      <c r="A49" s="49"/>
      <c r="B49" s="221"/>
      <c r="C49" s="222"/>
      <c r="D49" s="229" t="str">
        <f>IF(Intro!$G$20="English",O49,P49)</f>
        <v>Soudé</v>
      </c>
      <c r="E49" s="75"/>
      <c r="F49" s="75"/>
      <c r="G49" s="75"/>
      <c r="H49" s="75"/>
      <c r="I49" s="75"/>
      <c r="J49" s="88"/>
      <c r="K49" s="88"/>
      <c r="L49" s="71"/>
      <c r="O49" s="26" t="s">
        <v>486</v>
      </c>
      <c r="P49" s="207" t="s">
        <v>509</v>
      </c>
    </row>
    <row r="50" spans="1:16" s="38" customFormat="1" x14ac:dyDescent="0.25">
      <c r="A50" s="49"/>
      <c r="B50" s="221"/>
      <c r="C50" s="222"/>
      <c r="D50" s="223" t="str">
        <f>'Imp-Aus'!B31</f>
        <v>Ventes aux distributeurs au Canada</v>
      </c>
      <c r="E50" s="141" t="str">
        <f>IF(SUM('Begin:End2'!G38)&lt;&gt;0,"X","-")</f>
        <v>-</v>
      </c>
      <c r="F50" s="141" t="str">
        <f>IF(SUM('Begin:End2'!H38)&lt;&gt;0,"X","-")</f>
        <v>-</v>
      </c>
      <c r="G50" s="141" t="str">
        <f>IF(SUM('Begin:End2'!I38)&lt;&gt;0,"X","-")</f>
        <v>-</v>
      </c>
      <c r="H50" s="141" t="str">
        <f>IF(SUM('Begin:End2'!J38)&lt;&gt;0,"X","-")</f>
        <v>-</v>
      </c>
      <c r="I50" s="141" t="str">
        <f>IF(SUM('Begin:End2'!K38)&lt;&gt;0,"X","-")</f>
        <v>-</v>
      </c>
      <c r="J50" s="88"/>
      <c r="K50" s="88"/>
      <c r="L50" s="71"/>
    </row>
    <row r="51" spans="1:16" s="38" customFormat="1" x14ac:dyDescent="0.25">
      <c r="A51" s="49"/>
      <c r="B51" s="221"/>
      <c r="C51" s="222"/>
      <c r="D51" s="223" t="str">
        <f>'Imp-Aus'!B34</f>
        <v>Ventes aux utilisateurs finals au Canada</v>
      </c>
      <c r="E51" s="141" t="str">
        <f>IF(SUM('Begin:End2'!G41)&lt;&gt;0,"X","-")</f>
        <v>-</v>
      </c>
      <c r="F51" s="141" t="str">
        <f>IF(SUM('Begin:End2'!H41)&lt;&gt;0,"X","-")</f>
        <v>-</v>
      </c>
      <c r="G51" s="141" t="str">
        <f>IF(SUM('Begin:End2'!I41)&lt;&gt;0,"X","-")</f>
        <v>-</v>
      </c>
      <c r="H51" s="141" t="str">
        <f>IF(SUM('Begin:End2'!J41)&lt;&gt;0,"X","-")</f>
        <v>-</v>
      </c>
      <c r="I51" s="141" t="str">
        <f>IF(SUM('Begin:End2'!K41)&lt;&gt;0,"X","-")</f>
        <v>-</v>
      </c>
      <c r="J51" s="88"/>
      <c r="K51" s="88"/>
      <c r="L51" s="71"/>
    </row>
    <row r="52" spans="1:16" s="38" customFormat="1" x14ac:dyDescent="0.25">
      <c r="A52" s="49"/>
      <c r="B52" s="221"/>
      <c r="C52" s="222"/>
      <c r="D52" s="223"/>
      <c r="E52" s="75"/>
      <c r="F52" s="75"/>
      <c r="G52" s="75"/>
      <c r="H52" s="75"/>
      <c r="I52" s="75"/>
      <c r="J52" s="88"/>
      <c r="K52" s="88"/>
      <c r="L52" s="71"/>
    </row>
    <row r="53" spans="1:16" s="38" customFormat="1" x14ac:dyDescent="0.25">
      <c r="A53" s="49"/>
      <c r="B53" s="84"/>
      <c r="C53" s="85"/>
      <c r="D53" s="139" t="str">
        <f>'Invent-Stock'!B29</f>
        <v>Ventes à l'exportation</v>
      </c>
      <c r="E53" s="141" t="str">
        <f>IF(SUM('Invent-Stock'!G29)&lt;&gt;0,"X","-")</f>
        <v>-</v>
      </c>
      <c r="F53" s="141" t="str">
        <f>IF(SUM('Invent-Stock'!H29)&lt;&gt;0,"X","-")</f>
        <v>-</v>
      </c>
      <c r="G53" s="141" t="str">
        <f>IF(SUM('Invent-Stock'!I29)&lt;&gt;0,"X","-")</f>
        <v>-</v>
      </c>
      <c r="H53" s="141" t="str">
        <f>IF(SUM('Invent-Stock'!J29)&lt;&gt;0,"X","-")</f>
        <v>-</v>
      </c>
      <c r="I53" s="141" t="str">
        <f>IF(SUM('Invent-Stock'!K29)&lt;&gt;0,"X","-")</f>
        <v>-</v>
      </c>
      <c r="J53" s="88"/>
      <c r="K53" s="88"/>
      <c r="L53" s="71"/>
    </row>
    <row r="54" spans="1:16" x14ac:dyDescent="0.25">
      <c r="B54" s="72"/>
      <c r="C54" s="82"/>
      <c r="D54" s="82"/>
      <c r="E54" s="69"/>
      <c r="F54" s="69"/>
      <c r="G54" s="69"/>
      <c r="H54" s="69"/>
      <c r="I54" s="69"/>
      <c r="J54" s="69"/>
      <c r="K54" s="69"/>
      <c r="L54" s="70"/>
      <c r="M54" s="10"/>
    </row>
  </sheetData>
  <sheetProtection algorithmName="SHA-512" hashValue="wZXTJhu2Gx7CkolQH6A+lICykdCN+UlMKA+MtME/azVLbbYotpSbsGwP1odXJ7vR9SZSxufTlxMDaYXFGIcEyQ==" saltValue="21QGTW3ovi4IXFwxT8CkTA==" spinCount="100000" sheet="1" objects="1" scenarios="1" selectLockedCells="1"/>
  <mergeCells count="21">
    <mergeCell ref="B4:L4"/>
    <mergeCell ref="B5:L5"/>
    <mergeCell ref="B6:L6"/>
    <mergeCell ref="B28:L28"/>
    <mergeCell ref="B8:L8"/>
    <mergeCell ref="B9:L9"/>
    <mergeCell ref="B12:I12"/>
    <mergeCell ref="B42:D42"/>
    <mergeCell ref="E39:I41"/>
    <mergeCell ref="B30:L31"/>
    <mergeCell ref="B13:I13"/>
    <mergeCell ref="B14:I14"/>
    <mergeCell ref="B15:I15"/>
    <mergeCell ref="E33:E34"/>
    <mergeCell ref="F33:F34"/>
    <mergeCell ref="G33:G34"/>
    <mergeCell ref="H33:H34"/>
    <mergeCell ref="I33:I34"/>
    <mergeCell ref="B17:L17"/>
    <mergeCell ref="B19:L26"/>
    <mergeCell ref="B38:D38"/>
  </mergeCells>
  <phoneticPr fontId="42" type="noConversion"/>
  <dataValidations disablePrompts="1"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9" xr:uid="{7001EC79-BB29-42CC-BA8E-F10C32CC887D}">
      <formula1>1000</formula1>
    </dataValidation>
  </dataValidations>
  <printOptions horizontalCentered="1"/>
  <pageMargins left="0.25" right="0.25" top="0.75" bottom="0.75" header="0.3" footer="0.3"/>
  <pageSetup scale="63" fitToHeight="0" orientation="portrait" r:id="rId1"/>
  <headerFooter>
    <oddFooter>&amp;L&amp;A</oddFooter>
  </headerFooter>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D1480E6A-B19A-423F-ADBE-D835D510D40F}">
          <x14:formula1>
            <xm:f>Variables!$D$58:$D$59</xm:f>
          </x14:formula1>
          <xm:sqref>J12:J15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22"/>
  <sheetViews>
    <sheetView showGridLines="0" tabSelected="1" zoomScaleNormal="100" workbookViewId="0">
      <selection activeCell="G20" sqref="G20:G21"/>
    </sheetView>
  </sheetViews>
  <sheetFormatPr defaultColWidth="9.140625" defaultRowHeight="14.25" x14ac:dyDescent="0.25"/>
  <cols>
    <col min="1" max="1" width="1.85546875" style="8" customWidth="1"/>
    <col min="2" max="12" width="14.5703125" style="1" customWidth="1"/>
    <col min="13" max="13" width="6.140625" style="9" customWidth="1"/>
    <col min="14" max="14" width="9.140625" style="10" customWidth="1"/>
    <col min="15" max="15" width="42.5703125" style="10" hidden="1" customWidth="1"/>
    <col min="16" max="16" width="38.5703125" style="10" hidden="1" customWidth="1"/>
    <col min="17" max="20" width="8.85546875" style="10" customWidth="1"/>
    <col min="21" max="22" width="10.140625" style="10" customWidth="1"/>
    <col min="23" max="23" width="9.140625" style="10" customWidth="1"/>
    <col min="24" max="16384" width="9.140625" style="10"/>
  </cols>
  <sheetData>
    <row r="1" spans="1:19" x14ac:dyDescent="0.25">
      <c r="O1" s="10" t="s">
        <v>419</v>
      </c>
      <c r="P1" s="10" t="s">
        <v>419</v>
      </c>
    </row>
    <row r="2" spans="1:19" x14ac:dyDescent="0.25">
      <c r="B2" s="12" t="s">
        <v>66</v>
      </c>
      <c r="C2" s="12"/>
      <c r="O2" s="11" t="s">
        <v>93</v>
      </c>
      <c r="P2" s="11" t="s">
        <v>109</v>
      </c>
    </row>
    <row r="3" spans="1:19" x14ac:dyDescent="0.25">
      <c r="B3" s="13"/>
      <c r="C3" s="13"/>
      <c r="O3" s="41"/>
      <c r="P3" s="41"/>
    </row>
    <row r="4" spans="1:19" s="2" customFormat="1" x14ac:dyDescent="0.25">
      <c r="A4" s="4"/>
      <c r="B4" s="572" t="s">
        <v>298</v>
      </c>
      <c r="C4" s="573"/>
      <c r="D4" s="573"/>
      <c r="E4" s="573"/>
      <c r="F4" s="573"/>
      <c r="G4" s="573"/>
      <c r="H4" s="573"/>
      <c r="I4" s="573"/>
      <c r="J4" s="573"/>
      <c r="K4" s="573"/>
      <c r="L4" s="574"/>
      <c r="M4" s="25"/>
      <c r="N4" s="25"/>
      <c r="O4" s="9"/>
      <c r="P4" s="9"/>
      <c r="Q4" s="41"/>
      <c r="R4" s="41"/>
      <c r="S4" s="41"/>
    </row>
    <row r="5" spans="1:19" s="2" customFormat="1" x14ac:dyDescent="0.25">
      <c r="A5" s="4"/>
      <c r="B5" s="575" t="str">
        <f>Variables!B2</f>
        <v>NQ-2026-001</v>
      </c>
      <c r="C5" s="576"/>
      <c r="D5" s="576"/>
      <c r="E5" s="576"/>
      <c r="F5" s="576"/>
      <c r="G5" s="576"/>
      <c r="H5" s="576"/>
      <c r="I5" s="576"/>
      <c r="J5" s="576"/>
      <c r="K5" s="576"/>
      <c r="L5" s="577"/>
      <c r="M5" s="25"/>
      <c r="N5" s="25"/>
      <c r="O5" s="9"/>
      <c r="P5" s="9"/>
      <c r="Q5" s="41"/>
      <c r="R5" s="41"/>
      <c r="S5" s="41"/>
    </row>
    <row r="6" spans="1:19" s="6" customFormat="1" x14ac:dyDescent="0.25">
      <c r="A6" s="4"/>
      <c r="B6" s="578" t="str">
        <f>UPPER(Variables!B3&amp;" | "&amp;Variables!C3)</f>
        <v>OIL AND GAS WELL CASING | TUBAGES DE PUITS DE GAZ ET DE PÉTROLE</v>
      </c>
      <c r="C6" s="579"/>
      <c r="D6" s="579"/>
      <c r="E6" s="579"/>
      <c r="F6" s="579"/>
      <c r="G6" s="579"/>
      <c r="H6" s="579"/>
      <c r="I6" s="579"/>
      <c r="J6" s="579"/>
      <c r="K6" s="579"/>
      <c r="L6" s="580"/>
      <c r="M6" s="19"/>
      <c r="N6" s="19"/>
      <c r="O6" s="27"/>
      <c r="P6" s="27"/>
      <c r="Q6" s="10"/>
      <c r="R6" s="10"/>
      <c r="S6" s="10"/>
    </row>
    <row r="7" spans="1:19" s="6" customFormat="1" x14ac:dyDescent="0.25">
      <c r="A7" s="4"/>
      <c r="B7" s="14"/>
      <c r="C7" s="14"/>
      <c r="D7" s="3"/>
      <c r="E7" s="3"/>
      <c r="F7" s="3"/>
      <c r="G7" s="3"/>
      <c r="H7" s="3"/>
      <c r="I7" s="3"/>
      <c r="J7" s="3"/>
      <c r="K7" s="3"/>
      <c r="L7" s="3"/>
      <c r="O7" s="27"/>
      <c r="P7" s="27"/>
      <c r="Q7" s="10"/>
      <c r="R7" s="10"/>
      <c r="S7" s="10"/>
    </row>
    <row r="8" spans="1:19" s="2" customFormat="1" x14ac:dyDescent="0.25">
      <c r="A8" s="4"/>
      <c r="B8" s="536" t="s">
        <v>299</v>
      </c>
      <c r="C8" s="537"/>
      <c r="D8" s="537"/>
      <c r="E8" s="537"/>
      <c r="F8" s="537"/>
      <c r="G8" s="537"/>
      <c r="H8" s="537"/>
      <c r="I8" s="537"/>
      <c r="J8" s="537"/>
      <c r="K8" s="537"/>
      <c r="L8" s="538"/>
      <c r="M8" s="25"/>
      <c r="N8" s="25"/>
      <c r="O8" s="9"/>
      <c r="P8" s="9"/>
      <c r="Q8" s="41"/>
      <c r="R8" s="41"/>
      <c r="S8" s="41"/>
    </row>
    <row r="9" spans="1:19" ht="14.1" customHeight="1" x14ac:dyDescent="0.25">
      <c r="B9" s="16"/>
      <c r="C9" s="35"/>
      <c r="D9" s="36"/>
      <c r="E9" s="36"/>
      <c r="F9" s="36"/>
      <c r="G9" s="36"/>
      <c r="H9" s="36"/>
      <c r="I9" s="36"/>
      <c r="J9" s="36"/>
      <c r="K9" s="36"/>
      <c r="L9" s="17"/>
      <c r="M9" s="10"/>
      <c r="O9" s="524" t="s">
        <v>405</v>
      </c>
      <c r="P9" s="524"/>
    </row>
    <row r="10" spans="1:19" x14ac:dyDescent="0.25">
      <c r="B10" s="530" t="str">
        <f>"The Canadian International Trade Tribunal (the Tribunal) has commenced an inquiry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of oil and gas well casing (as defined below) originating in or exported from Austria. Your firm's knowledge and experience would aid the Tribunal in the proper conduct of its inquiry by helping it better understand the Canadian market for oil and gas well casing. The Tribunal therefore requests a response to this questionnaire from your firm.</v>
      </c>
      <c r="C10" s="531"/>
      <c r="D10" s="531"/>
      <c r="E10" s="531"/>
      <c r="F10" s="531"/>
      <c r="G10" s="66"/>
      <c r="H10" s="581" t="str">
        <f>"Le Tribunal canadien du commerce extérieur (le Tribunal) a ouvert une enquête concernant "&amp;Variables!C4&amp;" de "&amp;Variables!C3&amp;" (tels que définis ci-dessous) originaires ou exportés "&amp;Variables!C5&amp;". Les connaissances et l'expérience de votre entreprise aideraient le Tribunal à mener correctement son enquête en lui permettant de mieux comprendre le marché canadien des "&amp;Variables!C3&amp;". Le Tribunal demande donc à votre entreprise de répondre à ce questionnaire."</f>
        <v>Le Tribunal canadien du commerce extérieur (le Tribunal) a ouvert une enquête concernant le dumping de tubages de puits de gaz et de pétrole (tels que définis ci-dessous) originaires ou exportés de l'Autriche. Les connaissances et l'expérience de votre entreprise aideraient le Tribunal à mener correctement son enquête en lui permettant de mieux comprendre le marché canadien des tubages de puits de gaz et de pétrole. Le Tribunal demande donc à votre entreprise de répondre à ce questionnaire.</v>
      </c>
      <c r="I10" s="581"/>
      <c r="J10" s="581"/>
      <c r="K10" s="581"/>
      <c r="L10" s="582"/>
      <c r="M10" s="10"/>
      <c r="O10" s="524"/>
      <c r="P10" s="524"/>
    </row>
    <row r="11" spans="1:19" x14ac:dyDescent="0.25">
      <c r="B11" s="530"/>
      <c r="C11" s="531"/>
      <c r="D11" s="531"/>
      <c r="E11" s="531"/>
      <c r="F11" s="531"/>
      <c r="G11" s="116"/>
      <c r="H11" s="581"/>
      <c r="I11" s="581"/>
      <c r="J11" s="581"/>
      <c r="K11" s="581"/>
      <c r="L11" s="582"/>
      <c r="M11" s="10"/>
      <c r="O11" s="524"/>
      <c r="P11" s="524"/>
    </row>
    <row r="12" spans="1:19" x14ac:dyDescent="0.25">
      <c r="B12" s="530"/>
      <c r="C12" s="531"/>
      <c r="D12" s="531"/>
      <c r="E12" s="531"/>
      <c r="F12" s="531"/>
      <c r="G12" s="116"/>
      <c r="H12" s="581"/>
      <c r="I12" s="581"/>
      <c r="J12" s="581"/>
      <c r="K12" s="581"/>
      <c r="L12" s="582"/>
      <c r="M12" s="10"/>
      <c r="O12" s="524"/>
      <c r="P12" s="524"/>
    </row>
    <row r="13" spans="1:19" x14ac:dyDescent="0.25">
      <c r="B13" s="530"/>
      <c r="C13" s="531"/>
      <c r="D13" s="531"/>
      <c r="E13" s="531"/>
      <c r="F13" s="531"/>
      <c r="G13" s="116"/>
      <c r="H13" s="581"/>
      <c r="I13" s="581"/>
      <c r="J13" s="581"/>
      <c r="K13" s="581"/>
      <c r="L13" s="582"/>
      <c r="M13" s="10"/>
      <c r="O13" s="524"/>
      <c r="P13" s="524"/>
    </row>
    <row r="14" spans="1:19" x14ac:dyDescent="0.25">
      <c r="B14" s="530"/>
      <c r="C14" s="531"/>
      <c r="D14" s="531"/>
      <c r="E14" s="531"/>
      <c r="F14" s="531"/>
      <c r="G14" s="116"/>
      <c r="H14" s="581"/>
      <c r="I14" s="581"/>
      <c r="J14" s="581"/>
      <c r="K14" s="581"/>
      <c r="L14" s="582"/>
      <c r="M14" s="10"/>
      <c r="O14" s="524"/>
      <c r="P14" s="524"/>
    </row>
    <row r="15" spans="1:19" x14ac:dyDescent="0.25">
      <c r="B15" s="530"/>
      <c r="C15" s="531"/>
      <c r="D15" s="531"/>
      <c r="E15" s="531"/>
      <c r="F15" s="531"/>
      <c r="G15" s="116"/>
      <c r="H15" s="581"/>
      <c r="I15" s="581"/>
      <c r="J15" s="581"/>
      <c r="K15" s="581"/>
      <c r="L15" s="582"/>
      <c r="M15" s="10"/>
      <c r="O15" s="524"/>
      <c r="P15" s="524"/>
    </row>
    <row r="16" spans="1:19" x14ac:dyDescent="0.25">
      <c r="B16" s="72"/>
      <c r="C16" s="69"/>
      <c r="D16" s="69"/>
      <c r="E16" s="69"/>
      <c r="F16" s="69"/>
      <c r="G16" s="69"/>
      <c r="H16" s="69"/>
      <c r="I16" s="69"/>
      <c r="J16" s="69"/>
      <c r="K16" s="69"/>
      <c r="L16" s="70"/>
      <c r="M16" s="10"/>
      <c r="O16" s="524"/>
      <c r="P16" s="524"/>
    </row>
    <row r="17" spans="1:19" s="6" customFormat="1" x14ac:dyDescent="0.25">
      <c r="A17" s="4"/>
      <c r="B17" s="14"/>
      <c r="C17" s="14"/>
      <c r="D17" s="3"/>
      <c r="E17" s="3"/>
      <c r="F17" s="3"/>
      <c r="G17" s="3"/>
      <c r="H17" s="3"/>
      <c r="I17" s="3"/>
      <c r="J17" s="3"/>
      <c r="K17" s="3"/>
      <c r="L17" s="3"/>
      <c r="O17" s="27"/>
      <c r="P17" s="27"/>
      <c r="Q17" s="10"/>
      <c r="R17" s="10"/>
      <c r="S17" s="10"/>
    </row>
    <row r="18" spans="1:19" s="2" customFormat="1" x14ac:dyDescent="0.25">
      <c r="A18" s="4"/>
      <c r="B18" s="536" t="s">
        <v>300</v>
      </c>
      <c r="C18" s="537"/>
      <c r="D18" s="537"/>
      <c r="E18" s="537"/>
      <c r="F18" s="537"/>
      <c r="G18" s="537"/>
      <c r="H18" s="537"/>
      <c r="I18" s="537"/>
      <c r="J18" s="537"/>
      <c r="K18" s="537"/>
      <c r="L18" s="538"/>
      <c r="M18" s="25"/>
      <c r="N18" s="25"/>
      <c r="O18" s="9"/>
      <c r="P18" s="9"/>
      <c r="Q18" s="41"/>
      <c r="R18" s="41"/>
      <c r="S18" s="41"/>
    </row>
    <row r="19" spans="1:19" x14ac:dyDescent="0.25">
      <c r="B19" s="16"/>
      <c r="C19" s="35"/>
      <c r="D19" s="36"/>
      <c r="E19" s="36"/>
      <c r="F19" s="36"/>
      <c r="G19" s="36"/>
      <c r="H19" s="36"/>
      <c r="I19" s="36"/>
      <c r="J19" s="36"/>
      <c r="K19" s="36"/>
      <c r="L19" s="17"/>
      <c r="M19" s="10"/>
    </row>
    <row r="20" spans="1:19" x14ac:dyDescent="0.25">
      <c r="B20" s="611" t="s">
        <v>110</v>
      </c>
      <c r="C20" s="612"/>
      <c r="D20" s="612"/>
      <c r="E20" s="612"/>
      <c r="F20" s="612"/>
      <c r="G20" s="525" t="s">
        <v>109</v>
      </c>
      <c r="H20" s="613" t="s">
        <v>205</v>
      </c>
      <c r="I20" s="613"/>
      <c r="J20" s="613"/>
      <c r="K20" s="613"/>
      <c r="L20" s="614"/>
      <c r="M20" s="10"/>
      <c r="O20" s="18"/>
    </row>
    <row r="21" spans="1:19" x14ac:dyDescent="0.25">
      <c r="B21" s="611"/>
      <c r="C21" s="612"/>
      <c r="D21" s="612"/>
      <c r="E21" s="612"/>
      <c r="F21" s="612"/>
      <c r="G21" s="526"/>
      <c r="H21" s="613"/>
      <c r="I21" s="613"/>
      <c r="J21" s="613"/>
      <c r="K21" s="613"/>
      <c r="L21" s="614"/>
      <c r="M21" s="10"/>
      <c r="O21" s="18"/>
    </row>
    <row r="22" spans="1:19" x14ac:dyDescent="0.25">
      <c r="B22" s="72"/>
      <c r="C22" s="69"/>
      <c r="D22" s="69"/>
      <c r="E22" s="69"/>
      <c r="F22" s="69"/>
      <c r="G22" s="69"/>
      <c r="H22" s="69"/>
      <c r="I22" s="69"/>
      <c r="J22" s="69"/>
      <c r="K22" s="69"/>
      <c r="L22" s="70"/>
      <c r="M22" s="10"/>
    </row>
    <row r="23" spans="1:19" s="6" customFormat="1" x14ac:dyDescent="0.25">
      <c r="A23" s="4"/>
      <c r="B23" s="14"/>
      <c r="C23" s="14"/>
      <c r="D23" s="3"/>
      <c r="E23" s="3"/>
      <c r="F23" s="3"/>
      <c r="G23" s="3"/>
      <c r="H23" s="3"/>
      <c r="I23" s="3"/>
      <c r="J23" s="3"/>
      <c r="K23" s="3"/>
      <c r="L23" s="3"/>
      <c r="O23" s="27"/>
      <c r="P23" s="27"/>
      <c r="Q23" s="10"/>
      <c r="R23" s="10"/>
      <c r="S23" s="10"/>
    </row>
    <row r="24" spans="1:19" s="2" customFormat="1" x14ac:dyDescent="0.25">
      <c r="A24" s="4"/>
      <c r="B24" s="536" t="str">
        <f>IF(Intro!$G$20="English",O24,P24)</f>
        <v>LA DÉFINITION "DES MARCHANDISES"</v>
      </c>
      <c r="C24" s="537" t="str">
        <f>UPPER(IF(Intro!$G$20="English",P24,Q24))</f>
        <v/>
      </c>
      <c r="D24" s="537" t="str">
        <f>UPPER(IF(Intro!$G$20="English",Q24,R24))</f>
        <v/>
      </c>
      <c r="E24" s="537" t="str">
        <f>UPPER(IF(Intro!$G$20="English",R24,S24))</f>
        <v/>
      </c>
      <c r="F24" s="537" t="str">
        <f>UPPER(IF(Intro!$G$20="English",S24,T24))</f>
        <v/>
      </c>
      <c r="G24" s="537"/>
      <c r="H24" s="537" t="str">
        <f>UPPER(IF(Intro!$G$20="English",T24,U24))</f>
        <v/>
      </c>
      <c r="I24" s="537" t="str">
        <f>UPPER(IF(Intro!$G$20="English",U24,V24))</f>
        <v/>
      </c>
      <c r="J24" s="537" t="str">
        <f>UPPER(IF(Intro!$G$20="English",V24,W24))</f>
        <v/>
      </c>
      <c r="K24" s="537" t="str">
        <f>UPPER(IF(Intro!$G$20="English",W24,X24))</f>
        <v/>
      </c>
      <c r="L24" s="538" t="str">
        <f>UPPER(IF(Intro!$G$20="English",X24,Y24))</f>
        <v/>
      </c>
      <c r="M24" s="6"/>
      <c r="N24" s="25"/>
      <c r="O24" s="19" t="s">
        <v>301</v>
      </c>
      <c r="P24" s="19" t="s">
        <v>302</v>
      </c>
      <c r="Q24" s="41"/>
      <c r="R24" s="41"/>
      <c r="S24" s="41"/>
    </row>
    <row r="25" spans="1:19" x14ac:dyDescent="0.25">
      <c r="B25" s="16"/>
      <c r="C25" s="35"/>
      <c r="D25" s="36"/>
      <c r="E25" s="36"/>
      <c r="F25" s="36"/>
      <c r="G25" s="36"/>
      <c r="H25" s="36"/>
      <c r="I25" s="36"/>
      <c r="J25" s="36"/>
      <c r="K25" s="36"/>
      <c r="L25" s="17"/>
      <c r="M25" s="10"/>
    </row>
    <row r="26" spans="1:19" x14ac:dyDescent="0.25">
      <c r="B26" s="530" t="str">
        <f>IF(Intro!$G$20="English",O26,P26)</f>
        <v>Les références aux « marchandises » dans ce questionnaire font référence à :</v>
      </c>
      <c r="C26" s="531"/>
      <c r="D26" s="531"/>
      <c r="E26" s="531"/>
      <c r="F26" s="531"/>
      <c r="G26" s="531"/>
      <c r="H26" s="531"/>
      <c r="I26" s="531"/>
      <c r="J26" s="531"/>
      <c r="K26" s="531"/>
      <c r="L26" s="532"/>
      <c r="M26" s="10"/>
      <c r="O26" s="10" t="s">
        <v>155</v>
      </c>
      <c r="P26" s="10" t="s">
        <v>156</v>
      </c>
    </row>
    <row r="27" spans="1:19" x14ac:dyDescent="0.25">
      <c r="B27" s="61"/>
      <c r="C27" s="62"/>
      <c r="D27" s="62"/>
      <c r="E27" s="62"/>
      <c r="F27" s="62"/>
      <c r="G27" s="62"/>
      <c r="H27" s="62"/>
      <c r="I27" s="62"/>
      <c r="J27" s="62"/>
      <c r="K27" s="62"/>
      <c r="L27" s="63"/>
      <c r="M27" s="10"/>
    </row>
    <row r="28" spans="1:19" x14ac:dyDescent="0.25">
      <c r="B28" s="74"/>
      <c r="C28" s="539" t="str">
        <f>IF(Intro!$G$20="English",Variables!B16,Variables!C16)</f>
        <v>Tubage de puits de gaz ou de pétrole et tubage de puits de type tube vert, en acier ordinaire ou en acier allié, soudés ou sans soudures, traités thermiquement ou non traités thermiquement, peu importe le fini, ayant un diamètre extérieur de 4 ½ po à 9 5/8 po (de 114,3 mm à 245,2 mm), respectant ou fournis pour respecter la spécification 5CT de l’American Petroleum Institute (API) ou l’équivalent ou des normes exclusives améliorées, dans tous les grades.</v>
      </c>
      <c r="D28" s="540"/>
      <c r="E28" s="540"/>
      <c r="F28" s="540"/>
      <c r="G28" s="540"/>
      <c r="H28" s="540"/>
      <c r="I28" s="540"/>
      <c r="J28" s="540"/>
      <c r="K28" s="541"/>
      <c r="L28" s="67"/>
      <c r="M28" s="10"/>
    </row>
    <row r="29" spans="1:19" x14ac:dyDescent="0.25">
      <c r="B29" s="74"/>
      <c r="C29" s="542"/>
      <c r="D29" s="543"/>
      <c r="E29" s="543"/>
      <c r="F29" s="543"/>
      <c r="G29" s="543"/>
      <c r="H29" s="543"/>
      <c r="I29" s="543"/>
      <c r="J29" s="543"/>
      <c r="K29" s="544"/>
      <c r="L29" s="117"/>
      <c r="M29" s="10"/>
    </row>
    <row r="30" spans="1:19" x14ac:dyDescent="0.25">
      <c r="B30" s="74"/>
      <c r="C30" s="542"/>
      <c r="D30" s="543"/>
      <c r="E30" s="543"/>
      <c r="F30" s="543"/>
      <c r="G30" s="543"/>
      <c r="H30" s="543"/>
      <c r="I30" s="543"/>
      <c r="J30" s="543"/>
      <c r="K30" s="544"/>
      <c r="L30" s="117"/>
      <c r="M30" s="10"/>
    </row>
    <row r="31" spans="1:19" x14ac:dyDescent="0.25">
      <c r="B31" s="74"/>
      <c r="C31" s="545"/>
      <c r="D31" s="546"/>
      <c r="E31" s="546"/>
      <c r="F31" s="546"/>
      <c r="G31" s="546"/>
      <c r="H31" s="546"/>
      <c r="I31" s="546"/>
      <c r="J31" s="546"/>
      <c r="K31" s="547"/>
      <c r="L31" s="117"/>
      <c r="M31" s="10"/>
    </row>
    <row r="32" spans="1:19" x14ac:dyDescent="0.25">
      <c r="B32" s="61"/>
      <c r="C32" s="62"/>
      <c r="D32" s="62"/>
      <c r="E32" s="62"/>
      <c r="F32" s="62"/>
      <c r="G32" s="62"/>
      <c r="H32" s="62"/>
      <c r="I32" s="62"/>
      <c r="J32" s="62"/>
      <c r="K32" s="62"/>
      <c r="L32" s="63"/>
      <c r="M32" s="10"/>
    </row>
    <row r="33" spans="1:19" x14ac:dyDescent="0.25">
      <c r="B33" s="530" t="str">
        <f>IF(Intro!$G$20="English",O33,P33)</f>
        <v>Pour plus de détails, consultez l'onglet Info.</v>
      </c>
      <c r="C33" s="531"/>
      <c r="D33" s="531"/>
      <c r="E33" s="531"/>
      <c r="F33" s="531"/>
      <c r="G33" s="531"/>
      <c r="H33" s="531"/>
      <c r="I33" s="531"/>
      <c r="J33" s="531"/>
      <c r="K33" s="531"/>
      <c r="L33" s="532"/>
      <c r="M33" s="10"/>
      <c r="O33" s="10" t="s">
        <v>153</v>
      </c>
      <c r="P33" s="10" t="s">
        <v>154</v>
      </c>
    </row>
    <row r="34" spans="1:19" x14ac:dyDescent="0.25">
      <c r="B34" s="72"/>
      <c r="C34" s="69"/>
      <c r="D34" s="69"/>
      <c r="E34" s="69"/>
      <c r="F34" s="69"/>
      <c r="G34" s="69"/>
      <c r="H34" s="69"/>
      <c r="I34" s="69"/>
      <c r="J34" s="69"/>
      <c r="K34" s="69"/>
      <c r="L34" s="70"/>
      <c r="M34" s="10"/>
    </row>
    <row r="35" spans="1:19" s="6" customFormat="1" x14ac:dyDescent="0.25">
      <c r="A35" s="4"/>
      <c r="B35" s="14"/>
      <c r="C35" s="14"/>
      <c r="D35" s="3"/>
      <c r="E35" s="3"/>
      <c r="F35" s="3"/>
      <c r="G35" s="3"/>
      <c r="H35" s="3"/>
      <c r="I35" s="3"/>
      <c r="J35" s="3"/>
      <c r="K35" s="3"/>
      <c r="L35" s="3"/>
      <c r="Q35" s="10"/>
      <c r="R35" s="10"/>
      <c r="S35" s="10"/>
    </row>
    <row r="36" spans="1:19" s="2" customFormat="1" x14ac:dyDescent="0.25">
      <c r="A36" s="4"/>
      <c r="B36" s="533" t="str">
        <f>IF(Intro!$G$20="English",O36,P36)</f>
        <v>DEVEZ-VOUS REMPLIR CE QUESTIONNAIRE?</v>
      </c>
      <c r="C36" s="534"/>
      <c r="D36" s="534"/>
      <c r="E36" s="534"/>
      <c r="F36" s="534"/>
      <c r="G36" s="534"/>
      <c r="H36" s="534"/>
      <c r="I36" s="534"/>
      <c r="J36" s="534"/>
      <c r="K36" s="534"/>
      <c r="L36" s="535"/>
      <c r="M36" s="25"/>
      <c r="N36" s="25"/>
      <c r="O36" s="9" t="s">
        <v>303</v>
      </c>
      <c r="P36" s="9" t="s">
        <v>387</v>
      </c>
      <c r="Q36" s="41"/>
      <c r="R36" s="41"/>
      <c r="S36" s="41"/>
    </row>
    <row r="37" spans="1:19" x14ac:dyDescent="0.25">
      <c r="B37" s="16"/>
      <c r="C37" s="35"/>
      <c r="D37" s="36"/>
      <c r="E37" s="36"/>
      <c r="F37" s="36"/>
      <c r="G37" s="36"/>
      <c r="H37" s="36"/>
      <c r="I37" s="36"/>
      <c r="J37" s="36"/>
      <c r="K37" s="36"/>
      <c r="L37" s="17"/>
      <c r="M37" s="10"/>
    </row>
    <row r="38" spans="1:19" x14ac:dyDescent="0.25">
      <c r="B38" s="527" t="str">
        <f>IF(Intro!$G$20="English",O38,P38)</f>
        <v>Votre entreprise a-t-elle importé les marchandises en tant qu'importateur officiel de n'importe quel pays à tout moment depuis le 1er janvier 2023?</v>
      </c>
      <c r="C38" s="528"/>
      <c r="D38" s="528"/>
      <c r="E38" s="528"/>
      <c r="F38" s="528"/>
      <c r="G38" s="528"/>
      <c r="H38" s="528"/>
      <c r="I38" s="528"/>
      <c r="J38" s="528"/>
      <c r="K38" s="528"/>
      <c r="L38" s="529"/>
      <c r="M38" s="10"/>
      <c r="O38" s="18" t="str">
        <f>"Has your firm imported the goods as the importer of record from any country since January 1, "&amp;Variables!B6&amp;"?"</f>
        <v>Has your firm imported the goods as the importer of record from any country since January 1, 2023?</v>
      </c>
      <c r="P38"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39" spans="1:19" x14ac:dyDescent="0.25">
      <c r="B39" s="74"/>
      <c r="C39" s="75"/>
      <c r="D39" s="10"/>
      <c r="E39" s="10"/>
      <c r="F39" s="10"/>
      <c r="G39" s="120"/>
      <c r="H39" s="120"/>
      <c r="I39" s="120"/>
      <c r="J39" s="120"/>
      <c r="K39" s="120"/>
      <c r="L39" s="121"/>
      <c r="M39" s="10"/>
      <c r="O39" s="10" t="s">
        <v>177</v>
      </c>
      <c r="P39" s="10" t="s">
        <v>395</v>
      </c>
    </row>
    <row r="40" spans="1:19" x14ac:dyDescent="0.25">
      <c r="B40" s="550" t="str">
        <f>IF(Intro!$G$20="English",O39,P39)</f>
        <v>Sélectionnez oui ou non</v>
      </c>
      <c r="C40" s="551"/>
      <c r="D40" s="548"/>
      <c r="E40" s="552" t="str">
        <f>IF(D40="Yes",O40,IF(D40="Oui",P40,IF(D40="No",O41,IF(D40="Non",P41,""))))</f>
        <v/>
      </c>
      <c r="F40" s="553"/>
      <c r="G40" s="553"/>
      <c r="H40" s="553"/>
      <c r="I40" s="553"/>
      <c r="J40" s="553"/>
      <c r="K40" s="554"/>
      <c r="L40" s="121"/>
      <c r="M40" s="10"/>
      <c r="O40" s="10" t="str">
        <f>"Complete all tabs in this questionnaire and return by "&amp;Variables!B11&amp;"."</f>
        <v>Complete all tabs in this questionnaire and return by May 26, 2026.</v>
      </c>
      <c r="P40" s="10" t="str">
        <f>"Remplissez tous les onglets de ce questionnaire et retournez-le avant le "&amp;Variables!C11&amp;"."</f>
        <v>Remplissez tous les onglets de ce questionnaire et retournez-le avant le 26 mai 2026.</v>
      </c>
    </row>
    <row r="41" spans="1:19" x14ac:dyDescent="0.25">
      <c r="B41" s="550"/>
      <c r="C41" s="551"/>
      <c r="D41" s="549"/>
      <c r="E41" s="555"/>
      <c r="F41" s="556"/>
      <c r="G41" s="556"/>
      <c r="H41" s="556"/>
      <c r="I41" s="556"/>
      <c r="J41" s="556"/>
      <c r="K41" s="557"/>
      <c r="L41" s="121"/>
      <c r="M41" s="10"/>
      <c r="O41" s="10" t="str">
        <f>"Provide explanation below. Complete this tab only and return by "&amp;Variables!B11&amp;"."</f>
        <v>Provide explanation below. Complete this tab only and return by May 26, 2026.</v>
      </c>
      <c r="P41" s="10" t="str">
        <f>"Expliquez ci-dessous. Remplissez cet onglet uniquement et retournez-le avant le "&amp;Variables!C11&amp;"."</f>
        <v>Expliquez ci-dessous. Remplissez cet onglet uniquement et retournez-le avant le 26 mai 2026.</v>
      </c>
    </row>
    <row r="42" spans="1:19" x14ac:dyDescent="0.25">
      <c r="B42" s="16"/>
      <c r="C42" s="35"/>
      <c r="D42" s="36"/>
      <c r="E42" s="36"/>
      <c r="F42" s="36"/>
      <c r="G42" s="36"/>
      <c r="H42" s="36"/>
      <c r="I42" s="36"/>
      <c r="J42" s="36"/>
      <c r="K42" s="36"/>
      <c r="L42" s="17"/>
      <c r="M42" s="10"/>
    </row>
    <row r="43" spans="1:19" ht="14.1" customHeight="1" x14ac:dyDescent="0.25">
      <c r="B43" s="527" t="str">
        <f>IF(Intro!$G$20="English",O43,P43)</f>
        <v>Si non, expliquez pourquoi les données d'importation de l'ASFC indiquent que vous avez importé en utilisant les codes SH énumérés dans l'onglet Info au cours de cette période.</v>
      </c>
      <c r="C43" s="528"/>
      <c r="D43" s="528"/>
      <c r="E43" s="528"/>
      <c r="F43" s="528"/>
      <c r="G43" s="528"/>
      <c r="H43" s="528"/>
      <c r="I43" s="528"/>
      <c r="J43" s="528"/>
      <c r="K43" s="528"/>
      <c r="L43" s="529"/>
      <c r="M43" s="10"/>
      <c r="O43" s="10" t="s">
        <v>304</v>
      </c>
      <c r="P43" s="10" t="s">
        <v>305</v>
      </c>
    </row>
    <row r="44" spans="1:19" x14ac:dyDescent="0.25">
      <c r="B44" s="16"/>
      <c r="C44" s="35"/>
      <c r="D44" s="36"/>
      <c r="E44" s="36"/>
      <c r="F44" s="36"/>
      <c r="G44" s="36"/>
      <c r="H44" s="36"/>
      <c r="I44" s="36"/>
      <c r="J44" s="36"/>
      <c r="K44" s="36"/>
      <c r="L44" s="17"/>
      <c r="M44" s="10"/>
    </row>
    <row r="45" spans="1:19" x14ac:dyDescent="0.25">
      <c r="B45" s="558"/>
      <c r="C45" s="559"/>
      <c r="D45" s="559"/>
      <c r="E45" s="559"/>
      <c r="F45" s="559"/>
      <c r="G45" s="559"/>
      <c r="H45" s="559"/>
      <c r="I45" s="559"/>
      <c r="J45" s="559"/>
      <c r="K45" s="559"/>
      <c r="L45" s="560"/>
      <c r="M45" s="10"/>
    </row>
    <row r="46" spans="1:19" x14ac:dyDescent="0.25">
      <c r="B46" s="558"/>
      <c r="C46" s="559"/>
      <c r="D46" s="559"/>
      <c r="E46" s="559"/>
      <c r="F46" s="559"/>
      <c r="G46" s="559"/>
      <c r="H46" s="559"/>
      <c r="I46" s="559"/>
      <c r="J46" s="559"/>
      <c r="K46" s="559"/>
      <c r="L46" s="560"/>
      <c r="M46" s="10"/>
    </row>
    <row r="47" spans="1:19" x14ac:dyDescent="0.25">
      <c r="B47" s="558"/>
      <c r="C47" s="559"/>
      <c r="D47" s="559"/>
      <c r="E47" s="559"/>
      <c r="F47" s="559"/>
      <c r="G47" s="559"/>
      <c r="H47" s="559"/>
      <c r="I47" s="559"/>
      <c r="J47" s="559"/>
      <c r="K47" s="559"/>
      <c r="L47" s="560"/>
      <c r="M47" s="10"/>
    </row>
    <row r="48" spans="1:19" x14ac:dyDescent="0.25">
      <c r="B48" s="558"/>
      <c r="C48" s="559"/>
      <c r="D48" s="559"/>
      <c r="E48" s="559"/>
      <c r="F48" s="559"/>
      <c r="G48" s="559"/>
      <c r="H48" s="559"/>
      <c r="I48" s="559"/>
      <c r="J48" s="559"/>
      <c r="K48" s="559"/>
      <c r="L48" s="560"/>
      <c r="M48" s="10"/>
    </row>
    <row r="49" spans="1:19" x14ac:dyDescent="0.25">
      <c r="B49" s="558"/>
      <c r="C49" s="559"/>
      <c r="D49" s="559"/>
      <c r="E49" s="559"/>
      <c r="F49" s="559"/>
      <c r="G49" s="559"/>
      <c r="H49" s="559"/>
      <c r="I49" s="559"/>
      <c r="J49" s="559"/>
      <c r="K49" s="559"/>
      <c r="L49" s="560"/>
      <c r="M49" s="10"/>
    </row>
    <row r="50" spans="1:19" x14ac:dyDescent="0.25">
      <c r="B50" s="558"/>
      <c r="C50" s="559"/>
      <c r="D50" s="559"/>
      <c r="E50" s="559"/>
      <c r="F50" s="559"/>
      <c r="G50" s="559"/>
      <c r="H50" s="559"/>
      <c r="I50" s="559"/>
      <c r="J50" s="559"/>
      <c r="K50" s="559"/>
      <c r="L50" s="560"/>
      <c r="M50" s="10"/>
    </row>
    <row r="51" spans="1:19" x14ac:dyDescent="0.25">
      <c r="B51" s="558"/>
      <c r="C51" s="559"/>
      <c r="D51" s="559"/>
      <c r="E51" s="559"/>
      <c r="F51" s="559"/>
      <c r="G51" s="559"/>
      <c r="H51" s="559"/>
      <c r="I51" s="559"/>
      <c r="J51" s="559"/>
      <c r="K51" s="559"/>
      <c r="L51" s="560"/>
      <c r="M51" s="10"/>
    </row>
    <row r="52" spans="1:19" x14ac:dyDescent="0.25">
      <c r="B52" s="558"/>
      <c r="C52" s="559"/>
      <c r="D52" s="559"/>
      <c r="E52" s="559"/>
      <c r="F52" s="559"/>
      <c r="G52" s="559"/>
      <c r="H52" s="559"/>
      <c r="I52" s="559"/>
      <c r="J52" s="559"/>
      <c r="K52" s="559"/>
      <c r="L52" s="560"/>
      <c r="M52" s="10"/>
    </row>
    <row r="53" spans="1:19" x14ac:dyDescent="0.25">
      <c r="B53" s="72"/>
      <c r="C53" s="69"/>
      <c r="D53" s="69"/>
      <c r="E53" s="69"/>
      <c r="F53" s="69"/>
      <c r="G53" s="69"/>
      <c r="H53" s="69"/>
      <c r="I53" s="69"/>
      <c r="J53" s="69"/>
      <c r="K53" s="69"/>
      <c r="L53" s="70"/>
      <c r="M53" s="10"/>
    </row>
    <row r="54" spans="1:19" s="6" customFormat="1" x14ac:dyDescent="0.25">
      <c r="A54" s="4"/>
      <c r="B54" s="14"/>
      <c r="C54" s="14"/>
      <c r="D54" s="3"/>
      <c r="E54" s="3"/>
      <c r="F54" s="3"/>
      <c r="G54" s="3"/>
      <c r="H54" s="3"/>
      <c r="I54" s="3"/>
      <c r="J54" s="3"/>
      <c r="K54" s="3"/>
      <c r="L54" s="3"/>
      <c r="O54" s="27"/>
      <c r="P54" s="27"/>
      <c r="Q54" s="10"/>
      <c r="R54" s="10"/>
      <c r="S54" s="10"/>
    </row>
    <row r="55" spans="1:19" s="2" customFormat="1" x14ac:dyDescent="0.25">
      <c r="A55" s="4"/>
      <c r="B55" s="536" t="str">
        <f>UPPER(IF(Intro!$G$20="English",O55,P55))</f>
        <v>DATE D'ÉCHÉANCE DU QUESTIONNAIRE</v>
      </c>
      <c r="C55" s="537" t="str">
        <f>UPPER(IF(Intro!$G$20="English",P55,Q55))</f>
        <v/>
      </c>
      <c r="D55" s="537" t="str">
        <f>UPPER(IF(Intro!$G$20="English",Q55,R55))</f>
        <v/>
      </c>
      <c r="E55" s="537" t="str">
        <f>UPPER(IF(Intro!$G$20="English",R55,S55))</f>
        <v/>
      </c>
      <c r="F55" s="537" t="str">
        <f>UPPER(IF(Intro!$G$20="English",S55,T55))</f>
        <v/>
      </c>
      <c r="G55" s="537"/>
      <c r="H55" s="537" t="str">
        <f>UPPER(IF(Intro!$G$20="English",T55,U55))</f>
        <v/>
      </c>
      <c r="I55" s="537" t="str">
        <f>UPPER(IF(Intro!$G$20="English",U55,V55))</f>
        <v/>
      </c>
      <c r="J55" s="537" t="str">
        <f>UPPER(IF(Intro!$G$20="English",V55,W55))</f>
        <v/>
      </c>
      <c r="K55" s="537" t="str">
        <f>UPPER(IF(Intro!$G$20="English",W55,X55))</f>
        <v/>
      </c>
      <c r="L55" s="538" t="str">
        <f>UPPER(IF(Intro!$G$20="English",X55,Y55))</f>
        <v/>
      </c>
      <c r="M55" s="6"/>
      <c r="N55" s="25"/>
      <c r="O55" s="9" t="s">
        <v>58</v>
      </c>
      <c r="P55" s="9" t="s">
        <v>59</v>
      </c>
      <c r="Q55" s="41"/>
      <c r="R55" s="41"/>
      <c r="S55" s="41"/>
    </row>
    <row r="56" spans="1:19" x14ac:dyDescent="0.25">
      <c r="B56" s="16"/>
      <c r="C56" s="35"/>
      <c r="D56" s="36"/>
      <c r="E56" s="36"/>
      <c r="F56" s="36"/>
      <c r="G56" s="36"/>
      <c r="H56" s="36"/>
      <c r="I56" s="36"/>
      <c r="J56" s="36"/>
      <c r="K56" s="36"/>
      <c r="L56" s="17"/>
      <c r="M56" s="10"/>
    </row>
    <row r="57" spans="1:19" x14ac:dyDescent="0.25">
      <c r="B57" s="74"/>
      <c r="C57" s="10"/>
      <c r="D57" s="561" t="str">
        <f>IF(Intro!$G$20="English",O57,P57)</f>
        <v>26 mai 2026</v>
      </c>
      <c r="E57" s="562"/>
      <c r="F57" s="562"/>
      <c r="G57" s="562"/>
      <c r="H57" s="562"/>
      <c r="I57" s="562"/>
      <c r="J57" s="563"/>
      <c r="K57" s="45"/>
      <c r="L57" s="95"/>
      <c r="M57" s="10"/>
      <c r="O57" s="39" t="str">
        <f>Variables!B11</f>
        <v>May 26, 2026</v>
      </c>
      <c r="P57" s="39" t="str">
        <f>Variables!C11</f>
        <v>26 mai 2026</v>
      </c>
    </row>
    <row r="58" spans="1:19" x14ac:dyDescent="0.25">
      <c r="B58" s="74"/>
      <c r="C58" s="10"/>
      <c r="D58" s="564"/>
      <c r="E58" s="565"/>
      <c r="F58" s="565"/>
      <c r="G58" s="565"/>
      <c r="H58" s="565"/>
      <c r="I58" s="565"/>
      <c r="J58" s="566"/>
      <c r="K58" s="45"/>
      <c r="L58" s="95"/>
      <c r="M58" s="10"/>
      <c r="O58" s="39"/>
      <c r="P58" s="39"/>
    </row>
    <row r="59" spans="1:19" x14ac:dyDescent="0.25">
      <c r="B59" s="72"/>
      <c r="C59" s="69"/>
      <c r="D59" s="69"/>
      <c r="E59" s="69"/>
      <c r="F59" s="69"/>
      <c r="G59" s="69"/>
      <c r="H59" s="69"/>
      <c r="I59" s="69"/>
      <c r="J59" s="69"/>
      <c r="K59" s="69"/>
      <c r="L59" s="70"/>
      <c r="M59" s="10"/>
    </row>
    <row r="60" spans="1:19" s="6" customFormat="1" x14ac:dyDescent="0.25">
      <c r="A60" s="4"/>
      <c r="B60" s="14"/>
      <c r="C60" s="14"/>
      <c r="D60" s="3"/>
      <c r="E60" s="3"/>
      <c r="F60" s="3"/>
      <c r="G60" s="3"/>
      <c r="H60" s="3"/>
      <c r="I60" s="3"/>
      <c r="J60" s="3"/>
      <c r="K60" s="3"/>
      <c r="L60" s="3"/>
      <c r="O60" s="27"/>
      <c r="P60" s="27"/>
      <c r="Q60" s="10"/>
      <c r="R60" s="10"/>
      <c r="S60" s="10"/>
    </row>
    <row r="61" spans="1:19" s="2" customFormat="1" x14ac:dyDescent="0.25">
      <c r="A61" s="4"/>
      <c r="B61" s="536" t="str">
        <f>IF(Intro!$G$20="English",O61,P61)</f>
        <v>QUESTIONNAIRE NON REMPLI</v>
      </c>
      <c r="C61" s="537" t="str">
        <f>UPPER(IF(Intro!$G$20="English",P61,Q61))</f>
        <v/>
      </c>
      <c r="D61" s="537" t="str">
        <f>UPPER(IF(Intro!$G$20="English",Q61,R61))</f>
        <v/>
      </c>
      <c r="E61" s="537" t="str">
        <f>UPPER(IF(Intro!$G$20="English",R61,S61))</f>
        <v/>
      </c>
      <c r="F61" s="537" t="str">
        <f>UPPER(IF(Intro!$G$20="English",S61,T61))</f>
        <v/>
      </c>
      <c r="G61" s="537"/>
      <c r="H61" s="537" t="str">
        <f>UPPER(IF(Intro!$G$20="English",T61,U61))</f>
        <v/>
      </c>
      <c r="I61" s="537" t="str">
        <f>UPPER(IF(Intro!$G$20="English",U61,V61))</f>
        <v/>
      </c>
      <c r="J61" s="537" t="str">
        <f>UPPER(IF(Intro!$G$20="English",V61,W61))</f>
        <v/>
      </c>
      <c r="K61" s="537" t="str">
        <f>UPPER(IF(Intro!$G$20="English",W61,X61))</f>
        <v/>
      </c>
      <c r="L61" s="538" t="str">
        <f>UPPER(IF(Intro!$G$20="English",X61,Y61))</f>
        <v/>
      </c>
      <c r="M61" s="6"/>
      <c r="N61" s="25"/>
      <c r="O61" s="19" t="s">
        <v>306</v>
      </c>
      <c r="P61" s="19" t="s">
        <v>307</v>
      </c>
      <c r="Q61" s="41"/>
      <c r="R61" s="41"/>
      <c r="S61" s="41"/>
    </row>
    <row r="62" spans="1:19" x14ac:dyDescent="0.25">
      <c r="B62" s="16"/>
      <c r="C62" s="35"/>
      <c r="D62" s="36"/>
      <c r="E62" s="36"/>
      <c r="F62" s="36"/>
      <c r="G62" s="36"/>
      <c r="H62" s="36"/>
      <c r="I62" s="36"/>
      <c r="J62" s="36"/>
      <c r="K62" s="36"/>
      <c r="L62" s="17"/>
      <c r="M62" s="10"/>
    </row>
    <row r="63" spans="1:19" x14ac:dyDescent="0.25">
      <c r="B63" s="530" t="str">
        <f>IF(Intro!$G$20="English",O63,P63)</f>
        <v>Si le questionnaire n’est pas rempli dans les délais impartis, le Tribunal peut rendre une ordonnance de production, aux termes de l’article 17 de la Loi sur le Tribunal canadien du commerce extérieur, afin d’exiger la production d’une réponse au questionnaire.</v>
      </c>
      <c r="C63" s="531"/>
      <c r="D63" s="531"/>
      <c r="E63" s="531"/>
      <c r="F63" s="531"/>
      <c r="G63" s="531"/>
      <c r="H63" s="531"/>
      <c r="I63" s="531"/>
      <c r="J63" s="531"/>
      <c r="K63" s="531"/>
      <c r="L63" s="532"/>
      <c r="M63" s="10"/>
      <c r="O63" s="10" t="s">
        <v>111</v>
      </c>
      <c r="P63" s="10" t="s">
        <v>246</v>
      </c>
    </row>
    <row r="64" spans="1:19" x14ac:dyDescent="0.25">
      <c r="B64" s="530"/>
      <c r="C64" s="531"/>
      <c r="D64" s="531"/>
      <c r="E64" s="531"/>
      <c r="F64" s="531"/>
      <c r="G64" s="531"/>
      <c r="H64" s="531"/>
      <c r="I64" s="531"/>
      <c r="J64" s="531"/>
      <c r="K64" s="531"/>
      <c r="L64" s="532"/>
      <c r="M64" s="10"/>
    </row>
    <row r="65" spans="1:19" x14ac:dyDescent="0.25">
      <c r="B65" s="72"/>
      <c r="C65" s="69"/>
      <c r="D65" s="69"/>
      <c r="E65" s="69"/>
      <c r="F65" s="69"/>
      <c r="G65" s="69"/>
      <c r="H65" s="69"/>
      <c r="I65" s="69"/>
      <c r="J65" s="69"/>
      <c r="K65" s="69"/>
      <c r="L65" s="70"/>
      <c r="M65" s="10"/>
    </row>
    <row r="66" spans="1:19" s="6" customFormat="1" x14ac:dyDescent="0.25">
      <c r="A66" s="4"/>
      <c r="B66" s="14"/>
      <c r="C66" s="14"/>
      <c r="D66" s="3"/>
      <c r="E66" s="3"/>
      <c r="F66" s="3"/>
      <c r="G66" s="3"/>
      <c r="H66" s="3"/>
      <c r="I66" s="3"/>
      <c r="J66" s="3"/>
      <c r="K66" s="3"/>
      <c r="L66" s="3"/>
      <c r="O66" s="27"/>
      <c r="P66" s="27"/>
      <c r="Q66" s="10"/>
      <c r="R66" s="10"/>
      <c r="S66" s="10"/>
    </row>
    <row r="67" spans="1:19" x14ac:dyDescent="0.25">
      <c r="B67" s="615" t="str">
        <f>IF(Intro!$G$20="English",O67,P67)</f>
        <v>RENSEIGNEMENTS SUR L’ENTREPRISE</v>
      </c>
      <c r="C67" s="616"/>
      <c r="D67" s="616"/>
      <c r="E67" s="616"/>
      <c r="F67" s="616"/>
      <c r="G67" s="616"/>
      <c r="H67" s="616"/>
      <c r="I67" s="616"/>
      <c r="J67" s="616"/>
      <c r="K67" s="616"/>
      <c r="L67" s="617"/>
      <c r="M67" s="10"/>
      <c r="O67" s="10" t="s">
        <v>27</v>
      </c>
      <c r="P67" s="10" t="s">
        <v>28</v>
      </c>
    </row>
    <row r="68" spans="1:19" x14ac:dyDescent="0.25">
      <c r="B68" s="16"/>
      <c r="C68" s="35"/>
      <c r="D68" s="36"/>
      <c r="E68" s="36"/>
      <c r="F68" s="36"/>
      <c r="G68" s="36"/>
      <c r="H68" s="36"/>
      <c r="I68" s="36"/>
      <c r="J68" s="36"/>
      <c r="K68" s="36"/>
      <c r="L68" s="17"/>
      <c r="M68" s="10"/>
    </row>
    <row r="69" spans="1:19" x14ac:dyDescent="0.25">
      <c r="B69" s="567" t="str">
        <f>IF(Intro!$G$20="English",O69,P69)</f>
        <v>Dénomination sociale 
(en français et en anglais, le cas échéant)</v>
      </c>
      <c r="C69" s="568"/>
      <c r="D69" s="568"/>
      <c r="E69" s="589"/>
      <c r="F69" s="589"/>
      <c r="G69" s="589"/>
      <c r="H69" s="589"/>
      <c r="I69" s="589"/>
      <c r="J69" s="589"/>
      <c r="K69" s="589"/>
      <c r="L69" s="590"/>
      <c r="M69" s="10"/>
      <c r="O69" s="18" t="s">
        <v>242</v>
      </c>
      <c r="P69" s="10" t="s">
        <v>204</v>
      </c>
    </row>
    <row r="70" spans="1:19" x14ac:dyDescent="0.25">
      <c r="B70" s="567"/>
      <c r="C70" s="568"/>
      <c r="D70" s="568"/>
      <c r="E70" s="591"/>
      <c r="F70" s="591"/>
      <c r="G70" s="591"/>
      <c r="H70" s="591"/>
      <c r="I70" s="591"/>
      <c r="J70" s="591"/>
      <c r="K70" s="591"/>
      <c r="L70" s="592"/>
      <c r="M70" s="10"/>
      <c r="O70" s="18"/>
    </row>
    <row r="71" spans="1:19" x14ac:dyDescent="0.25">
      <c r="B71" s="567" t="str">
        <f>IF(Intro!$G$20="English",O71,P71)</f>
        <v>Adresse de l'entreprise</v>
      </c>
      <c r="C71" s="569"/>
      <c r="D71" s="569"/>
      <c r="E71" s="589"/>
      <c r="F71" s="589"/>
      <c r="G71" s="589"/>
      <c r="H71" s="589"/>
      <c r="I71" s="589"/>
      <c r="J71" s="589"/>
      <c r="K71" s="589"/>
      <c r="L71" s="590"/>
      <c r="M71" s="10"/>
      <c r="O71" s="18" t="s">
        <v>2</v>
      </c>
      <c r="P71" s="10" t="s">
        <v>3</v>
      </c>
    </row>
    <row r="72" spans="1:19" x14ac:dyDescent="0.25">
      <c r="B72" s="570"/>
      <c r="C72" s="571"/>
      <c r="D72" s="571"/>
      <c r="E72" s="591"/>
      <c r="F72" s="591"/>
      <c r="G72" s="591"/>
      <c r="H72" s="591"/>
      <c r="I72" s="591"/>
      <c r="J72" s="591"/>
      <c r="K72" s="591"/>
      <c r="L72" s="592"/>
      <c r="M72" s="10"/>
      <c r="O72" s="18"/>
    </row>
    <row r="73" spans="1:19" x14ac:dyDescent="0.25">
      <c r="B73" s="567" t="str">
        <f>IF(Intro!$G$20="English",O73,P73)</f>
        <v>Adresse du site Web</v>
      </c>
      <c r="C73" s="569"/>
      <c r="D73" s="569"/>
      <c r="E73" s="589"/>
      <c r="F73" s="589"/>
      <c r="G73" s="589"/>
      <c r="H73" s="589"/>
      <c r="I73" s="589"/>
      <c r="J73" s="589"/>
      <c r="K73" s="589"/>
      <c r="L73" s="590"/>
      <c r="M73" s="10"/>
      <c r="O73" s="18" t="s">
        <v>32</v>
      </c>
      <c r="P73" s="10" t="s">
        <v>4</v>
      </c>
    </row>
    <row r="74" spans="1:19" x14ac:dyDescent="0.25">
      <c r="B74" s="570"/>
      <c r="C74" s="571"/>
      <c r="D74" s="571"/>
      <c r="E74" s="591"/>
      <c r="F74" s="591"/>
      <c r="G74" s="591"/>
      <c r="H74" s="591"/>
      <c r="I74" s="591"/>
      <c r="J74" s="591"/>
      <c r="K74" s="591"/>
      <c r="L74" s="592"/>
      <c r="M74" s="10"/>
      <c r="O74" s="18"/>
    </row>
    <row r="75" spans="1:19" x14ac:dyDescent="0.25">
      <c r="B75" s="16"/>
      <c r="C75" s="35"/>
      <c r="D75" s="36"/>
      <c r="E75" s="36"/>
      <c r="F75" s="36"/>
      <c r="G75" s="36"/>
      <c r="H75" s="36"/>
      <c r="I75" s="36"/>
      <c r="J75" s="36"/>
      <c r="K75" s="36"/>
      <c r="L75" s="17"/>
      <c r="M75" s="10"/>
    </row>
    <row r="76" spans="1:19" x14ac:dyDescent="0.25">
      <c r="B76" s="530" t="str">
        <f>IF(Intro!$G$20="English",O76,P76)</f>
        <v xml:space="preserve">Si votre entreprise a plus d’un emplacement, d’une installation ou d’un point de vente, transmettez une réponse consolidée au questionnaire.
</v>
      </c>
      <c r="C76" s="531"/>
      <c r="D76" s="531"/>
      <c r="E76" s="531"/>
      <c r="F76" s="531"/>
      <c r="G76" s="531"/>
      <c r="H76" s="531"/>
      <c r="I76" s="531"/>
      <c r="J76" s="531"/>
      <c r="K76" s="531"/>
      <c r="L76" s="532"/>
      <c r="M76" s="10"/>
      <c r="O76" s="10" t="s">
        <v>178</v>
      </c>
      <c r="P76" s="10" t="s">
        <v>179</v>
      </c>
    </row>
    <row r="77" spans="1:19" x14ac:dyDescent="0.25">
      <c r="B77" s="593" t="str">
        <f>IF(Intro!$G$20="English",O77,P77)</f>
        <v>Fournissez les noms et adresses des autres emplacements, installations et points de vente au Canada au nom de laquelle votre entreprise répond. </v>
      </c>
      <c r="C77" s="594"/>
      <c r="D77" s="594"/>
      <c r="E77" s="599"/>
      <c r="F77" s="599"/>
      <c r="G77" s="599"/>
      <c r="H77" s="599"/>
      <c r="I77" s="599"/>
      <c r="J77" s="599"/>
      <c r="K77" s="599"/>
      <c r="L77" s="600"/>
      <c r="M77" s="10"/>
      <c r="O77" s="18" t="s">
        <v>25</v>
      </c>
      <c r="P77" s="10" t="s">
        <v>70</v>
      </c>
    </row>
    <row r="78" spans="1:19" x14ac:dyDescent="0.25">
      <c r="B78" s="595"/>
      <c r="C78" s="596"/>
      <c r="D78" s="596"/>
      <c r="E78" s="601"/>
      <c r="F78" s="601"/>
      <c r="G78" s="601"/>
      <c r="H78" s="601"/>
      <c r="I78" s="601"/>
      <c r="J78" s="601"/>
      <c r="K78" s="601"/>
      <c r="L78" s="602"/>
      <c r="M78" s="10"/>
      <c r="O78" s="18"/>
    </row>
    <row r="79" spans="1:19" x14ac:dyDescent="0.25">
      <c r="B79" s="595"/>
      <c r="C79" s="596"/>
      <c r="D79" s="596"/>
      <c r="E79" s="601"/>
      <c r="F79" s="601"/>
      <c r="G79" s="601"/>
      <c r="H79" s="601"/>
      <c r="I79" s="601"/>
      <c r="J79" s="601"/>
      <c r="K79" s="601"/>
      <c r="L79" s="602"/>
      <c r="M79" s="10"/>
      <c r="O79" s="18"/>
    </row>
    <row r="80" spans="1:19" x14ac:dyDescent="0.25">
      <c r="B80" s="595"/>
      <c r="C80" s="596"/>
      <c r="D80" s="596"/>
      <c r="E80" s="601"/>
      <c r="F80" s="601"/>
      <c r="G80" s="601"/>
      <c r="H80" s="601"/>
      <c r="I80" s="601"/>
      <c r="J80" s="601"/>
      <c r="K80" s="601"/>
      <c r="L80" s="602"/>
      <c r="M80" s="10"/>
      <c r="O80" s="18"/>
    </row>
    <row r="81" spans="2:16" x14ac:dyDescent="0.25">
      <c r="B81" s="595"/>
      <c r="C81" s="596"/>
      <c r="D81" s="596"/>
      <c r="E81" s="601"/>
      <c r="F81" s="601"/>
      <c r="G81" s="601"/>
      <c r="H81" s="601"/>
      <c r="I81" s="601"/>
      <c r="J81" s="601"/>
      <c r="K81" s="601"/>
      <c r="L81" s="602"/>
      <c r="M81" s="10"/>
      <c r="O81" s="18"/>
    </row>
    <row r="82" spans="2:16" x14ac:dyDescent="0.25">
      <c r="B82" s="595"/>
      <c r="C82" s="596"/>
      <c r="D82" s="596"/>
      <c r="E82" s="601"/>
      <c r="F82" s="601"/>
      <c r="G82" s="601"/>
      <c r="H82" s="601"/>
      <c r="I82" s="601"/>
      <c r="J82" s="601"/>
      <c r="K82" s="601"/>
      <c r="L82" s="602"/>
      <c r="M82" s="10"/>
      <c r="O82" s="18"/>
    </row>
    <row r="83" spans="2:16" x14ac:dyDescent="0.25">
      <c r="B83" s="595"/>
      <c r="C83" s="596"/>
      <c r="D83" s="596"/>
      <c r="E83" s="601"/>
      <c r="F83" s="601"/>
      <c r="G83" s="601"/>
      <c r="H83" s="601"/>
      <c r="I83" s="601"/>
      <c r="J83" s="601"/>
      <c r="K83" s="601"/>
      <c r="L83" s="602"/>
      <c r="M83" s="10"/>
      <c r="O83" s="18"/>
    </row>
    <row r="84" spans="2:16" x14ac:dyDescent="0.25">
      <c r="B84" s="595"/>
      <c r="C84" s="596"/>
      <c r="D84" s="596"/>
      <c r="E84" s="601"/>
      <c r="F84" s="601"/>
      <c r="G84" s="601"/>
      <c r="H84" s="601"/>
      <c r="I84" s="601"/>
      <c r="J84" s="601"/>
      <c r="K84" s="601"/>
      <c r="L84" s="602"/>
      <c r="M84" s="10"/>
      <c r="O84" s="18"/>
    </row>
    <row r="85" spans="2:16" x14ac:dyDescent="0.25">
      <c r="B85" s="595"/>
      <c r="C85" s="596"/>
      <c r="D85" s="596"/>
      <c r="E85" s="601"/>
      <c r="F85" s="601"/>
      <c r="G85" s="601"/>
      <c r="H85" s="601"/>
      <c r="I85" s="601"/>
      <c r="J85" s="601"/>
      <c r="K85" s="601"/>
      <c r="L85" s="602"/>
      <c r="M85" s="10"/>
      <c r="O85" s="18"/>
    </row>
    <row r="86" spans="2:16" x14ac:dyDescent="0.25">
      <c r="B86" s="597"/>
      <c r="C86" s="598"/>
      <c r="D86" s="598"/>
      <c r="E86" s="603"/>
      <c r="F86" s="603"/>
      <c r="G86" s="603"/>
      <c r="H86" s="603"/>
      <c r="I86" s="603"/>
      <c r="J86" s="603"/>
      <c r="K86" s="603"/>
      <c r="L86" s="604"/>
      <c r="M86" s="10"/>
      <c r="O86" s="18"/>
    </row>
    <row r="87" spans="2:16" x14ac:dyDescent="0.25">
      <c r="B87" s="72"/>
      <c r="C87" s="69"/>
      <c r="D87" s="69"/>
      <c r="E87" s="69"/>
      <c r="F87" s="69"/>
      <c r="G87" s="69"/>
      <c r="H87" s="69"/>
      <c r="I87" s="69"/>
      <c r="J87" s="69"/>
      <c r="K87" s="69"/>
      <c r="L87" s="70"/>
      <c r="M87" s="10"/>
    </row>
    <row r="89" spans="2:16" x14ac:dyDescent="0.25">
      <c r="B89" s="533" t="str">
        <f>IF(Intro!$G$20="English",O89,P89)</f>
        <v>ATTESTATION</v>
      </c>
      <c r="C89" s="534"/>
      <c r="D89" s="534"/>
      <c r="E89" s="534"/>
      <c r="F89" s="534"/>
      <c r="G89" s="534"/>
      <c r="H89" s="534"/>
      <c r="I89" s="534"/>
      <c r="J89" s="534"/>
      <c r="K89" s="534"/>
      <c r="L89" s="535"/>
      <c r="M89" s="10"/>
      <c r="O89" s="10" t="s">
        <v>30</v>
      </c>
      <c r="P89" s="10" t="s">
        <v>31</v>
      </c>
    </row>
    <row r="90" spans="2:16" x14ac:dyDescent="0.25">
      <c r="B90" s="16"/>
      <c r="C90" s="35"/>
      <c r="D90" s="36"/>
      <c r="E90" s="36"/>
      <c r="F90" s="36"/>
      <c r="G90" s="36"/>
      <c r="H90" s="36"/>
      <c r="I90" s="36"/>
      <c r="J90" s="36"/>
      <c r="K90" s="36"/>
      <c r="L90" s="17"/>
      <c r="M90" s="10"/>
    </row>
    <row r="91" spans="2:16" x14ac:dyDescent="0.25">
      <c r="B91" s="586" t="str">
        <f>IF(Intro!$G$20="English",O91,P91)</f>
        <v xml:space="preserve">Le soussigné déclare que, pour autant qu'il sache, les renseignements fournis aux présentes sont complets et exacts.
</v>
      </c>
      <c r="C91" s="587"/>
      <c r="D91" s="587"/>
      <c r="E91" s="587"/>
      <c r="F91" s="587"/>
      <c r="G91" s="587"/>
      <c r="H91" s="587"/>
      <c r="I91" s="587"/>
      <c r="J91" s="587"/>
      <c r="K91" s="587"/>
      <c r="L91" s="588"/>
      <c r="M91" s="10"/>
      <c r="O91" s="10" t="s">
        <v>240</v>
      </c>
      <c r="P91" s="9" t="s">
        <v>241</v>
      </c>
    </row>
    <row r="92" spans="2:16" x14ac:dyDescent="0.25">
      <c r="B92" s="74"/>
      <c r="C92" s="75"/>
      <c r="D92" s="75"/>
      <c r="E92" s="75"/>
      <c r="F92" s="75"/>
      <c r="G92" s="75"/>
      <c r="H92" s="75"/>
      <c r="I92" s="75"/>
      <c r="J92" s="75"/>
      <c r="K92" s="75"/>
      <c r="L92" s="58"/>
      <c r="M92" s="10"/>
    </row>
    <row r="93" spans="2:16" x14ac:dyDescent="0.25">
      <c r="B93" s="567" t="str">
        <f>IF(Intro!$G$20="English",O93,P93)</f>
        <v>Nom du représentant autorisé</v>
      </c>
      <c r="C93" s="568"/>
      <c r="D93" s="568"/>
      <c r="E93" s="589"/>
      <c r="F93" s="589"/>
      <c r="G93" s="589"/>
      <c r="H93" s="589"/>
      <c r="I93" s="589"/>
      <c r="J93" s="589"/>
      <c r="K93" s="589"/>
      <c r="L93" s="590"/>
      <c r="M93" s="10"/>
      <c r="O93" s="18" t="s">
        <v>5</v>
      </c>
      <c r="P93" s="10" t="s">
        <v>6</v>
      </c>
    </row>
    <row r="94" spans="2:16" x14ac:dyDescent="0.25">
      <c r="B94" s="567"/>
      <c r="C94" s="568"/>
      <c r="D94" s="568"/>
      <c r="E94" s="591"/>
      <c r="F94" s="591"/>
      <c r="G94" s="591"/>
      <c r="H94" s="591"/>
      <c r="I94" s="591"/>
      <c r="J94" s="591"/>
      <c r="K94" s="591"/>
      <c r="L94" s="592"/>
      <c r="M94" s="10"/>
      <c r="O94" s="18"/>
    </row>
    <row r="95" spans="2:16" x14ac:dyDescent="0.25">
      <c r="B95" s="567" t="str">
        <f>IF(Intro!$G$20="English",O95,P95)</f>
        <v>Titre du représentant autorisé</v>
      </c>
      <c r="C95" s="568"/>
      <c r="D95" s="569"/>
      <c r="E95" s="589"/>
      <c r="F95" s="589"/>
      <c r="G95" s="589"/>
      <c r="H95" s="589"/>
      <c r="I95" s="589"/>
      <c r="J95" s="589"/>
      <c r="K95" s="589"/>
      <c r="L95" s="590"/>
      <c r="M95" s="10"/>
      <c r="O95" s="18" t="s">
        <v>7</v>
      </c>
      <c r="P95" s="10" t="s">
        <v>8</v>
      </c>
    </row>
    <row r="96" spans="2:16" x14ac:dyDescent="0.25">
      <c r="B96" s="570"/>
      <c r="C96" s="571"/>
      <c r="D96" s="571"/>
      <c r="E96" s="591"/>
      <c r="F96" s="591"/>
      <c r="G96" s="591"/>
      <c r="H96" s="591"/>
      <c r="I96" s="591"/>
      <c r="J96" s="591"/>
      <c r="K96" s="591"/>
      <c r="L96" s="592"/>
      <c r="M96" s="10"/>
      <c r="O96" s="18"/>
    </row>
    <row r="97" spans="1:19" x14ac:dyDescent="0.25">
      <c r="B97" s="567" t="str">
        <f>IF(Intro!$G$20="English",O97,P97)</f>
        <v>Adresse de courrier électronique</v>
      </c>
      <c r="C97" s="568"/>
      <c r="D97" s="569"/>
      <c r="E97" s="589"/>
      <c r="F97" s="589"/>
      <c r="G97" s="589"/>
      <c r="H97" s="589"/>
      <c r="I97" s="589"/>
      <c r="J97" s="589"/>
      <c r="K97" s="589"/>
      <c r="L97" s="590"/>
      <c r="M97" s="10"/>
      <c r="O97" s="18" t="s">
        <v>9</v>
      </c>
      <c r="P97" s="10" t="s">
        <v>71</v>
      </c>
    </row>
    <row r="98" spans="1:19" x14ac:dyDescent="0.25">
      <c r="B98" s="570"/>
      <c r="C98" s="571"/>
      <c r="D98" s="571"/>
      <c r="E98" s="591"/>
      <c r="F98" s="591"/>
      <c r="G98" s="591"/>
      <c r="H98" s="591"/>
      <c r="I98" s="591"/>
      <c r="J98" s="591"/>
      <c r="K98" s="591"/>
      <c r="L98" s="592"/>
      <c r="M98" s="10"/>
      <c r="O98" s="18"/>
    </row>
    <row r="99" spans="1:19" x14ac:dyDescent="0.25">
      <c r="B99" s="567" t="str">
        <f>IF(Intro!$G$20="English",O99,P99)</f>
        <v>Téléphone</v>
      </c>
      <c r="C99" s="568"/>
      <c r="D99" s="569"/>
      <c r="E99" s="589"/>
      <c r="F99" s="589"/>
      <c r="G99" s="589"/>
      <c r="H99" s="589"/>
      <c r="I99" s="589"/>
      <c r="J99" s="589"/>
      <c r="K99" s="589"/>
      <c r="L99" s="590"/>
      <c r="M99" s="10"/>
      <c r="O99" s="18" t="s">
        <v>10</v>
      </c>
      <c r="P99" s="10" t="s">
        <v>11</v>
      </c>
    </row>
    <row r="100" spans="1:19" x14ac:dyDescent="0.25">
      <c r="B100" s="570"/>
      <c r="C100" s="571"/>
      <c r="D100" s="571"/>
      <c r="E100" s="591"/>
      <c r="F100" s="591"/>
      <c r="G100" s="591"/>
      <c r="H100" s="591"/>
      <c r="I100" s="591"/>
      <c r="J100" s="591"/>
      <c r="K100" s="591"/>
      <c r="L100" s="592"/>
      <c r="M100" s="10"/>
      <c r="O100" s="18"/>
    </row>
    <row r="101" spans="1:19" x14ac:dyDescent="0.25">
      <c r="B101" s="567" t="s">
        <v>72</v>
      </c>
      <c r="C101" s="568"/>
      <c r="D101" s="569"/>
      <c r="E101" s="589"/>
      <c r="F101" s="589"/>
      <c r="G101" s="589"/>
      <c r="H101" s="589"/>
      <c r="I101" s="589"/>
      <c r="J101" s="589"/>
      <c r="K101" s="589"/>
      <c r="L101" s="590"/>
      <c r="M101" s="10"/>
      <c r="O101" s="18"/>
    </row>
    <row r="102" spans="1:19" x14ac:dyDescent="0.25">
      <c r="B102" s="570"/>
      <c r="C102" s="571"/>
      <c r="D102" s="571"/>
      <c r="E102" s="591"/>
      <c r="F102" s="591"/>
      <c r="G102" s="591"/>
      <c r="H102" s="591"/>
      <c r="I102" s="591"/>
      <c r="J102" s="591"/>
      <c r="K102" s="591"/>
      <c r="L102" s="592"/>
      <c r="M102" s="10"/>
      <c r="O102" s="18"/>
    </row>
    <row r="103" spans="1:19" x14ac:dyDescent="0.25">
      <c r="B103" s="74"/>
      <c r="C103" s="75"/>
      <c r="D103" s="75"/>
      <c r="E103" s="75"/>
      <c r="F103" s="75"/>
      <c r="G103" s="75"/>
      <c r="H103" s="75"/>
      <c r="I103" s="75"/>
      <c r="J103" s="75"/>
      <c r="K103" s="75"/>
      <c r="L103" s="58"/>
      <c r="M103" s="10"/>
    </row>
    <row r="104" spans="1:19" ht="21" x14ac:dyDescent="0.25">
      <c r="B104" s="143"/>
      <c r="C104" s="66"/>
      <c r="D104" s="66"/>
      <c r="E104" s="66"/>
      <c r="F104" s="67"/>
      <c r="H104" s="146" t="str">
        <f>IF(Intro!$G$20="English",O104,P104)</f>
        <v>Je comprends que le fait de cocher cette case constitue ma signature juridiquement contraignante.</v>
      </c>
      <c r="I104" s="122"/>
      <c r="J104" s="42"/>
      <c r="K104" s="42"/>
      <c r="L104" s="43"/>
      <c r="M104" s="10"/>
      <c r="O104" s="18" t="s">
        <v>61</v>
      </c>
      <c r="P104" s="10" t="s">
        <v>62</v>
      </c>
    </row>
    <row r="105" spans="1:19" x14ac:dyDescent="0.25">
      <c r="B105" s="72"/>
      <c r="C105" s="69"/>
      <c r="D105" s="69"/>
      <c r="E105" s="69"/>
      <c r="F105" s="69"/>
      <c r="G105" s="69"/>
      <c r="H105" s="69"/>
      <c r="I105" s="69"/>
      <c r="J105" s="69"/>
      <c r="K105" s="69"/>
      <c r="L105" s="70"/>
      <c r="M105" s="10"/>
    </row>
    <row r="106" spans="1:19" s="6" customFormat="1" x14ac:dyDescent="0.25">
      <c r="A106" s="4"/>
      <c r="B106" s="14"/>
      <c r="C106" s="14"/>
      <c r="D106" s="3"/>
      <c r="E106" s="3"/>
      <c r="F106" s="3"/>
      <c r="G106" s="3"/>
      <c r="H106" s="3"/>
      <c r="I106" s="3"/>
      <c r="J106" s="3"/>
      <c r="K106" s="3"/>
      <c r="L106" s="3"/>
      <c r="O106" s="27"/>
      <c r="P106" s="27"/>
      <c r="Q106" s="10"/>
      <c r="R106" s="10"/>
      <c r="S106" s="10"/>
    </row>
    <row r="107" spans="1:19" s="2" customFormat="1" x14ac:dyDescent="0.25">
      <c r="A107" s="4"/>
      <c r="B107" s="536" t="str">
        <f>IF(Intro!$G$20="English",O107,P107)</f>
        <v>TRANSMISSION DU QUESTIONNAIRE REMPLI</v>
      </c>
      <c r="C107" s="537" t="str">
        <f>UPPER(IF(Intro!$G$20="English",P107,Q107))</f>
        <v/>
      </c>
      <c r="D107" s="537" t="str">
        <f>UPPER(IF(Intro!$G$20="English",Q107,R107))</f>
        <v/>
      </c>
      <c r="E107" s="537" t="str">
        <f>UPPER(IF(Intro!$G$20="English",R107,S107))</f>
        <v/>
      </c>
      <c r="F107" s="537" t="str">
        <f>UPPER(IF(Intro!$G$20="English",S107,T107))</f>
        <v/>
      </c>
      <c r="G107" s="537"/>
      <c r="H107" s="537" t="str">
        <f>UPPER(IF(Intro!$G$20="English",T107,U107))</f>
        <v/>
      </c>
      <c r="I107" s="537" t="str">
        <f>UPPER(IF(Intro!$G$20="English",U107,V107))</f>
        <v/>
      </c>
      <c r="J107" s="537" t="str">
        <f>UPPER(IF(Intro!$G$20="English",V107,W107))</f>
        <v/>
      </c>
      <c r="K107" s="537" t="str">
        <f>UPPER(IF(Intro!$G$20="English",W107,X107))</f>
        <v/>
      </c>
      <c r="L107" s="538" t="str">
        <f>UPPER(IF(Intro!$G$20="English",X107,Y107))</f>
        <v/>
      </c>
      <c r="M107" s="6"/>
      <c r="N107" s="25"/>
      <c r="O107" s="9" t="s">
        <v>69</v>
      </c>
      <c r="P107" s="9" t="s">
        <v>0</v>
      </c>
      <c r="Q107" s="41"/>
      <c r="R107" s="41"/>
      <c r="S107" s="41"/>
    </row>
    <row r="108" spans="1:19" x14ac:dyDescent="0.25">
      <c r="B108" s="16"/>
      <c r="C108" s="35"/>
      <c r="D108" s="36"/>
      <c r="E108" s="36"/>
      <c r="F108" s="36"/>
      <c r="G108" s="36"/>
      <c r="H108" s="36"/>
      <c r="I108" s="36"/>
      <c r="J108" s="36"/>
      <c r="K108" s="36"/>
      <c r="L108" s="17"/>
      <c r="M108" s="10"/>
    </row>
    <row r="109" spans="1:19" x14ac:dyDescent="0.25">
      <c r="B109" s="530" t="str">
        <f>IF(Intro!$G$20="English",O109,P109)</f>
        <v>Retournez le questionnaire rempli en utilisant l’une des options suivantes :</v>
      </c>
      <c r="C109" s="531"/>
      <c r="D109" s="531"/>
      <c r="E109" s="531"/>
      <c r="F109" s="531"/>
      <c r="G109" s="531"/>
      <c r="H109" s="531"/>
      <c r="I109" s="531"/>
      <c r="J109" s="531"/>
      <c r="K109" s="531"/>
      <c r="L109" s="532"/>
      <c r="M109" s="10"/>
      <c r="O109" s="10" t="s">
        <v>112</v>
      </c>
      <c r="P109" s="10" t="s">
        <v>181</v>
      </c>
    </row>
    <row r="110" spans="1:19" x14ac:dyDescent="0.25">
      <c r="B110" s="583" t="str">
        <f>IF($G$20="English",HYPERLINK("https://e-filing-depot-electronique.citt-tcce.gc.ca/submitNonRegisteredUser-eng.aspx","1. Secure E-filing service;"),IF($G$20="Français",HYPERLINK("https://e-filing-depot-electronique.citt-tcce.gc.ca/submitNonRegisteredUser-fra.aspx?","1. Service sécurisé de dépôt électronique;"),""))</f>
        <v>1. Service sécurisé de dépôt électronique;</v>
      </c>
      <c r="C110" s="584"/>
      <c r="D110" s="584"/>
      <c r="E110" s="584"/>
      <c r="F110" s="584"/>
      <c r="G110" s="584"/>
      <c r="H110" s="584"/>
      <c r="I110" s="584"/>
      <c r="J110" s="584"/>
      <c r="K110" s="584"/>
      <c r="L110" s="585"/>
      <c r="M110" s="10"/>
    </row>
    <row r="111" spans="1:19" x14ac:dyDescent="0.25">
      <c r="B111" s="605" t="str">
        <f>IF(Intro!$G$20="English",O111,P111)</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11" s="606"/>
      <c r="D111" s="606"/>
      <c r="E111" s="606"/>
      <c r="F111" s="606"/>
      <c r="G111" s="606"/>
      <c r="H111" s="606"/>
      <c r="I111" s="606"/>
      <c r="J111" s="606"/>
      <c r="K111" s="606"/>
      <c r="L111" s="607"/>
      <c r="M111" s="10"/>
      <c r="O111" s="10" t="s">
        <v>180</v>
      </c>
      <c r="P111" s="10" t="s">
        <v>182</v>
      </c>
    </row>
    <row r="112" spans="1:19" x14ac:dyDescent="0.25">
      <c r="B112" s="605"/>
      <c r="C112" s="606"/>
      <c r="D112" s="606"/>
      <c r="E112" s="606"/>
      <c r="F112" s="606"/>
      <c r="G112" s="606"/>
      <c r="H112" s="606"/>
      <c r="I112" s="606"/>
      <c r="J112" s="606"/>
      <c r="K112" s="606"/>
      <c r="L112" s="607"/>
      <c r="M112" s="10"/>
    </row>
    <row r="113" spans="1:19" x14ac:dyDescent="0.25">
      <c r="B113" s="527" t="str">
        <f>IF(Intro!$G$20="English",O113,P113)</f>
        <v>2. Par courriel à l'adresse tcce-citt@tribunal.gc.ca si vous acceptez les risques connexes et vous transmettez des renseignements qui sont ceux de votre entreprise seulement.</v>
      </c>
      <c r="C113" s="528"/>
      <c r="D113" s="528"/>
      <c r="E113" s="528"/>
      <c r="F113" s="528"/>
      <c r="G113" s="528"/>
      <c r="H113" s="528"/>
      <c r="I113" s="528"/>
      <c r="J113" s="528"/>
      <c r="K113" s="528"/>
      <c r="L113" s="529"/>
      <c r="M113" s="10"/>
      <c r="O113" s="10" t="s">
        <v>271</v>
      </c>
      <c r="P113" s="10" t="s">
        <v>272</v>
      </c>
    </row>
    <row r="114" spans="1:19" x14ac:dyDescent="0.25">
      <c r="B114" s="72"/>
      <c r="C114" s="69"/>
      <c r="D114" s="69"/>
      <c r="E114" s="69"/>
      <c r="F114" s="69"/>
      <c r="G114" s="69"/>
      <c r="H114" s="69"/>
      <c r="I114" s="69"/>
      <c r="J114" s="69"/>
      <c r="K114" s="69"/>
      <c r="L114" s="70"/>
      <c r="M114" s="10"/>
    </row>
    <row r="116" spans="1:19" s="2" customFormat="1" x14ac:dyDescent="0.25">
      <c r="A116" s="4"/>
      <c r="B116" s="536" t="s">
        <v>308</v>
      </c>
      <c r="C116" s="537" t="str">
        <f>UPPER(IF(Intro!$G$20="English",P116,Q116))</f>
        <v/>
      </c>
      <c r="D116" s="537" t="str">
        <f>UPPER(IF(Intro!$G$20="English",Q116,R116))</f>
        <v/>
      </c>
      <c r="E116" s="537" t="str">
        <f>UPPER(IF(Intro!$G$20="English",R116,S116))</f>
        <v/>
      </c>
      <c r="F116" s="537" t="str">
        <f>UPPER(IF(Intro!$G$20="English",S116,T116))</f>
        <v/>
      </c>
      <c r="G116" s="537"/>
      <c r="H116" s="537" t="str">
        <f>UPPER(IF(Intro!$G$20="English",T116,U116))</f>
        <v/>
      </c>
      <c r="I116" s="537" t="str">
        <f>UPPER(IF(Intro!$G$20="English",U116,V116))</f>
        <v/>
      </c>
      <c r="J116" s="537" t="str">
        <f>UPPER(IF(Intro!$G$20="English",V116,W116))</f>
        <v/>
      </c>
      <c r="K116" s="537" t="str">
        <f>UPPER(IF(Intro!$G$20="English",W116,X116))</f>
        <v/>
      </c>
      <c r="L116" s="538" t="str">
        <f>UPPER(IF(Intro!$G$20="English",X116,Y116))</f>
        <v/>
      </c>
      <c r="M116" s="6"/>
      <c r="N116" s="25"/>
      <c r="O116" s="9"/>
      <c r="P116" s="9"/>
      <c r="Q116" s="41"/>
      <c r="R116" s="41"/>
      <c r="S116" s="41"/>
    </row>
    <row r="117" spans="1:19" x14ac:dyDescent="0.25">
      <c r="B117" s="16"/>
      <c r="C117" s="35"/>
      <c r="D117" s="36"/>
      <c r="E117" s="36"/>
      <c r="F117" s="36"/>
      <c r="G117" s="36"/>
      <c r="H117" s="36"/>
      <c r="I117" s="36"/>
      <c r="J117" s="36"/>
      <c r="K117" s="36"/>
      <c r="L117" s="17"/>
      <c r="M117" s="10"/>
    </row>
    <row r="118" spans="1:19" x14ac:dyDescent="0.25">
      <c r="B118" s="530" t="str">
        <f>IF(Intro!$G$20="English",O118,P118)</f>
        <v xml:space="preserve">Toutes les questions relatives au présent questionnaire doivent être adressées à :
</v>
      </c>
      <c r="C118" s="531"/>
      <c r="D118" s="531"/>
      <c r="E118" s="531"/>
      <c r="F118" s="531"/>
      <c r="G118" s="531"/>
      <c r="H118" s="531"/>
      <c r="I118" s="531"/>
      <c r="J118" s="531"/>
      <c r="K118" s="531"/>
      <c r="L118" s="532"/>
      <c r="M118" s="10"/>
      <c r="O118" s="10" t="s">
        <v>202</v>
      </c>
      <c r="P118" s="10" t="s">
        <v>203</v>
      </c>
    </row>
    <row r="119" spans="1:19" x14ac:dyDescent="0.25">
      <c r="B119" s="79"/>
      <c r="C119" s="80"/>
      <c r="D119" s="80"/>
      <c r="E119" s="80"/>
      <c r="F119" s="80"/>
      <c r="G119" s="80"/>
      <c r="H119" s="80"/>
      <c r="I119" s="80"/>
      <c r="J119" s="80"/>
      <c r="K119" s="80"/>
      <c r="L119" s="81"/>
      <c r="M119" s="10"/>
    </row>
    <row r="120" spans="1:19" x14ac:dyDescent="0.25">
      <c r="B120" s="608" t="str">
        <f>Variables!B13</f>
        <v>Nicole Lalonde</v>
      </c>
      <c r="C120" s="609"/>
      <c r="D120" s="609"/>
      <c r="E120" s="609" t="str">
        <f>Variables!C13</f>
        <v>nicole.lalonde@tribunal.gc.ca</v>
      </c>
      <c r="F120" s="609"/>
      <c r="G120" s="609"/>
      <c r="H120" s="609"/>
      <c r="I120" s="609"/>
      <c r="J120" s="609" t="str">
        <f>Variables!D13</f>
        <v>343-574-8274</v>
      </c>
      <c r="K120" s="609"/>
      <c r="L120" s="610"/>
      <c r="M120" s="10"/>
      <c r="O120" s="18"/>
    </row>
    <row r="121" spans="1:19" x14ac:dyDescent="0.25">
      <c r="B121" s="608" t="str">
        <f>Variables!B14</f>
        <v>Rhonda Heintzman</v>
      </c>
      <c r="C121" s="609"/>
      <c r="D121" s="609"/>
      <c r="E121" s="609" t="str">
        <f>Variables!C14</f>
        <v>rhonda.heintzman@tribunal.gc.ca</v>
      </c>
      <c r="F121" s="609"/>
      <c r="G121" s="609"/>
      <c r="H121" s="609"/>
      <c r="I121" s="609"/>
      <c r="J121" s="609" t="str">
        <f>Variables!D14</f>
        <v>613-558-5983</v>
      </c>
      <c r="K121" s="609"/>
      <c r="L121" s="610"/>
      <c r="M121" s="10"/>
      <c r="O121" s="18"/>
    </row>
    <row r="122" spans="1:19" x14ac:dyDescent="0.25">
      <c r="B122" s="72"/>
      <c r="C122" s="69"/>
      <c r="D122" s="69"/>
      <c r="E122" s="69"/>
      <c r="F122" s="69"/>
      <c r="G122" s="69"/>
      <c r="H122" s="69"/>
      <c r="I122" s="69"/>
      <c r="J122" s="69"/>
      <c r="K122" s="69"/>
      <c r="L122" s="70"/>
      <c r="M122" s="10"/>
    </row>
  </sheetData>
  <sheetProtection algorithmName="SHA-512" hashValue="astu4ywjWQToiDbahA7STcfaeWMqjHlgJgj8cFBhQ89v5utjvhHvhaj3ZI1mrEdhlVpoNftchVUr1F4UebHdZw==" saltValue="/Q8yrtOQSBqYNQwmMU5x8g==" spinCount="100000" sheet="1" objects="1" scenarios="1" selectLockedCells="1"/>
  <mergeCells count="61">
    <mergeCell ref="B20:F21"/>
    <mergeCell ref="H20:L21"/>
    <mergeCell ref="E95:L96"/>
    <mergeCell ref="E97:L98"/>
    <mergeCell ref="E99:L100"/>
    <mergeCell ref="B93:D94"/>
    <mergeCell ref="B95:D96"/>
    <mergeCell ref="B97:D98"/>
    <mergeCell ref="B99:D100"/>
    <mergeCell ref="B73:D74"/>
    <mergeCell ref="E69:L70"/>
    <mergeCell ref="E71:L72"/>
    <mergeCell ref="B43:L43"/>
    <mergeCell ref="E93:L94"/>
    <mergeCell ref="B89:L89"/>
    <mergeCell ref="B67:L67"/>
    <mergeCell ref="B121:D121"/>
    <mergeCell ref="E120:I120"/>
    <mergeCell ref="E121:I121"/>
    <mergeCell ref="J120:L120"/>
    <mergeCell ref="J121:L121"/>
    <mergeCell ref="B120:D120"/>
    <mergeCell ref="B118:L118"/>
    <mergeCell ref="B116:L116"/>
    <mergeCell ref="B107:L107"/>
    <mergeCell ref="B110:L110"/>
    <mergeCell ref="B61:L61"/>
    <mergeCell ref="B76:L76"/>
    <mergeCell ref="B91:L91"/>
    <mergeCell ref="E73:L74"/>
    <mergeCell ref="B77:D86"/>
    <mergeCell ref="E77:L86"/>
    <mergeCell ref="B63:L64"/>
    <mergeCell ref="B69:D70"/>
    <mergeCell ref="B71:D72"/>
    <mergeCell ref="B113:L113"/>
    <mergeCell ref="B111:L112"/>
    <mergeCell ref="E101:L102"/>
    <mergeCell ref="B4:L4"/>
    <mergeCell ref="B5:L5"/>
    <mergeCell ref="B8:L8"/>
    <mergeCell ref="B18:L18"/>
    <mergeCell ref="B6:L6"/>
    <mergeCell ref="B10:F15"/>
    <mergeCell ref="H10:L15"/>
    <mergeCell ref="O9:P16"/>
    <mergeCell ref="G20:G21"/>
    <mergeCell ref="B38:L38"/>
    <mergeCell ref="B109:L109"/>
    <mergeCell ref="B36:L36"/>
    <mergeCell ref="B55:L55"/>
    <mergeCell ref="B24:L24"/>
    <mergeCell ref="B26:L26"/>
    <mergeCell ref="B33:L33"/>
    <mergeCell ref="C28:K31"/>
    <mergeCell ref="D40:D41"/>
    <mergeCell ref="B40:C41"/>
    <mergeCell ref="E40:K41"/>
    <mergeCell ref="B45:L52"/>
    <mergeCell ref="D57:J58"/>
    <mergeCell ref="B101:D102"/>
  </mergeCells>
  <dataValidations count="2">
    <dataValidation type="list" allowBlank="1" showInputMessage="1" showErrorMessage="1" sqref="I104" xr:uid="{EA43E088-98E8-4631-9262-1DAFC17B3891}">
      <formula1>"X"</formula1>
    </dataValidation>
    <dataValidation type="list" allowBlank="1" showInputMessage="1" showErrorMessage="1" sqref="G20"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0" min="1" max="1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Variables!$D$58:$D$59</xm:f>
          </x14:formula1>
          <xm:sqref>D40:D41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DB5F0-73DE-4133-9D82-A85547AE5C76}">
  <sheetPr>
    <tabColor rgb="FFFFC000"/>
  </sheetPr>
  <dimension ref="A1:AA98"/>
  <sheetViews>
    <sheetView workbookViewId="0">
      <selection activeCell="O10" sqref="O10"/>
    </sheetView>
  </sheetViews>
  <sheetFormatPr defaultColWidth="9.140625" defaultRowHeight="12" x14ac:dyDescent="0.2"/>
  <cols>
    <col min="1" max="1" width="16.5703125" style="327" customWidth="1"/>
    <col min="2" max="2" width="25" style="327" bestFit="1" customWidth="1"/>
    <col min="3" max="3" width="25" style="327" customWidth="1"/>
    <col min="4" max="4" width="18.140625" style="327" customWidth="1"/>
    <col min="5" max="5" width="9.7109375" style="327" bestFit="1" customWidth="1"/>
    <col min="6" max="6" width="9" style="327" customWidth="1"/>
    <col min="7" max="8" width="9.28515625" style="327" bestFit="1" customWidth="1"/>
    <col min="9" max="9" width="10" style="327" bestFit="1" customWidth="1"/>
    <col min="10" max="11" width="10" style="327" customWidth="1"/>
    <col min="12" max="12" width="10.28515625" style="327" bestFit="1" customWidth="1"/>
    <col min="13" max="13" width="10.28515625" style="327" customWidth="1"/>
    <col min="14" max="14" width="9.42578125" style="327" bestFit="1" customWidth="1"/>
    <col min="15" max="15" width="10.140625" style="327" bestFit="1" customWidth="1"/>
    <col min="16" max="17" width="10.140625" style="327" customWidth="1"/>
    <col min="18" max="18" width="9.140625" style="327"/>
    <col min="19" max="20" width="10.140625" style="327" customWidth="1"/>
    <col min="21" max="25" width="9.140625" style="327"/>
    <col min="26" max="26" width="10" style="327" customWidth="1"/>
    <col min="27" max="16384" width="9.140625" style="327"/>
  </cols>
  <sheetData>
    <row r="1" spans="1:23" x14ac:dyDescent="0.2">
      <c r="B1" s="813" t="s">
        <v>549</v>
      </c>
      <c r="C1" s="817"/>
    </row>
    <row r="2" spans="1:23" ht="12.75" thickBot="1" x14ac:dyDescent="0.25">
      <c r="B2" s="328" t="s">
        <v>550</v>
      </c>
      <c r="C2" s="329" t="s">
        <v>551</v>
      </c>
    </row>
    <row r="3" spans="1:23" x14ac:dyDescent="0.2">
      <c r="B3" s="330" t="s">
        <v>552</v>
      </c>
      <c r="C3" s="331">
        <f>'Imp-Aus'!$G$22</f>
        <v>0</v>
      </c>
      <c r="D3" s="332" t="str">
        <f>IF(C3=0, "Don't","Copy")</f>
        <v>Don't</v>
      </c>
    </row>
    <row r="4" spans="1:23" x14ac:dyDescent="0.2">
      <c r="B4" s="333" t="s">
        <v>552</v>
      </c>
      <c r="C4" s="334">
        <f>'Imp-Aus2'!$G$22</f>
        <v>0</v>
      </c>
      <c r="D4" s="335" t="str">
        <f t="shared" ref="D4:D5" si="0">IF(C4=0, "Don't","Copy")</f>
        <v>Don't</v>
      </c>
    </row>
    <row r="5" spans="1:23" ht="12.75" thickBot="1" x14ac:dyDescent="0.25">
      <c r="B5" s="336" t="s">
        <v>552</v>
      </c>
      <c r="C5" s="337">
        <f>'Imp-Aus3'!$G$22</f>
        <v>0</v>
      </c>
      <c r="D5" s="338" t="str">
        <f t="shared" si="0"/>
        <v>Don't</v>
      </c>
    </row>
    <row r="6" spans="1:23" ht="12.75" thickBot="1" x14ac:dyDescent="0.25">
      <c r="D6" s="339"/>
      <c r="E6" s="339"/>
      <c r="F6" s="339"/>
      <c r="G6" s="340"/>
      <c r="H6" s="340"/>
      <c r="I6" s="340"/>
      <c r="J6" s="340"/>
      <c r="K6" s="340"/>
    </row>
    <row r="7" spans="1:23" ht="12.75" thickBot="1" x14ac:dyDescent="0.25">
      <c r="A7" s="341" t="s">
        <v>553</v>
      </c>
      <c r="B7" s="818" t="s">
        <v>554</v>
      </c>
      <c r="C7" s="819"/>
      <c r="D7" s="819"/>
      <c r="E7" s="342"/>
      <c r="F7" s="343">
        <f>F23</f>
        <v>2023</v>
      </c>
      <c r="G7" s="343">
        <f t="shared" ref="G7:J7" si="1">G23</f>
        <v>2024</v>
      </c>
      <c r="H7" s="343">
        <f t="shared" si="1"/>
        <v>2025</v>
      </c>
      <c r="I7" s="343" t="str">
        <f t="shared" si="1"/>
        <v>I-2025</v>
      </c>
      <c r="J7" s="344" t="str">
        <f t="shared" si="1"/>
        <v>I-2026</v>
      </c>
    </row>
    <row r="8" spans="1:23" x14ac:dyDescent="0.2">
      <c r="A8" s="345" t="str">
        <f>IF(Public!K17="X","Retailer","")</f>
        <v/>
      </c>
      <c r="B8" s="330" t="s">
        <v>552</v>
      </c>
      <c r="C8" s="346"/>
      <c r="D8" s="347"/>
      <c r="E8" s="347"/>
      <c r="F8" s="348" t="str">
        <f>Confirm!E35</f>
        <v>-</v>
      </c>
      <c r="G8" s="348" t="str">
        <f>Confirm!F35</f>
        <v>-</v>
      </c>
      <c r="H8" s="348" t="str">
        <f>Confirm!G35</f>
        <v>-</v>
      </c>
      <c r="I8" s="348" t="str">
        <f>Confirm!H35</f>
        <v>-</v>
      </c>
      <c r="J8" s="349" t="str">
        <f>Confirm!I35</f>
        <v>-</v>
      </c>
    </row>
    <row r="9" spans="1:23" x14ac:dyDescent="0.2">
      <c r="A9" s="345" t="str">
        <f>IF(Public!K18="X","Dist","")</f>
        <v/>
      </c>
      <c r="B9" s="333" t="s">
        <v>555</v>
      </c>
      <c r="D9" s="350"/>
      <c r="E9" s="350"/>
      <c r="F9" s="351" t="str">
        <f>Confirm!E36</f>
        <v>-</v>
      </c>
      <c r="G9" s="351" t="str">
        <f>Confirm!F36</f>
        <v>-</v>
      </c>
      <c r="H9" s="351" t="str">
        <f>Confirm!G36</f>
        <v>-</v>
      </c>
      <c r="I9" s="351" t="str">
        <f>Confirm!H36</f>
        <v>-</v>
      </c>
      <c r="J9" s="352" t="str">
        <f>Confirm!I36</f>
        <v>-</v>
      </c>
    </row>
    <row r="10" spans="1:23" x14ac:dyDescent="0.2">
      <c r="A10" s="345" t="str">
        <f>IF(Public!K19="X","End user","")</f>
        <v/>
      </c>
      <c r="B10" s="333" t="s">
        <v>556</v>
      </c>
      <c r="F10" s="351" t="str">
        <f>Confirm!E37</f>
        <v>-</v>
      </c>
      <c r="G10" s="351" t="str">
        <f>Confirm!F37</f>
        <v>-</v>
      </c>
      <c r="H10" s="351" t="str">
        <f>Confirm!G37</f>
        <v>-</v>
      </c>
      <c r="I10" s="351" t="str">
        <f>Confirm!H37</f>
        <v>-</v>
      </c>
      <c r="J10" s="352" t="str">
        <f>Confirm!I37</f>
        <v>-</v>
      </c>
      <c r="W10" s="353"/>
    </row>
    <row r="11" spans="1:23" x14ac:dyDescent="0.2">
      <c r="A11" s="345" t="str">
        <f>IF(Public!K21="X","End User","")</f>
        <v/>
      </c>
      <c r="B11" s="333" t="s">
        <v>557</v>
      </c>
      <c r="C11" s="345"/>
      <c r="F11" s="351" t="str">
        <f>Confirm!E38</f>
        <v>-</v>
      </c>
      <c r="G11" s="351" t="str">
        <f>Confirm!F38</f>
        <v>-</v>
      </c>
      <c r="H11" s="351" t="str">
        <f>Confirm!G38</f>
        <v>-</v>
      </c>
      <c r="I11" s="351" t="str">
        <f>Confirm!H38</f>
        <v>-</v>
      </c>
      <c r="J11" s="352" t="str">
        <f>Confirm!I38</f>
        <v>-</v>
      </c>
    </row>
    <row r="12" spans="1:23" x14ac:dyDescent="0.2">
      <c r="A12" s="354"/>
      <c r="B12" s="333" t="s">
        <v>558</v>
      </c>
      <c r="C12" s="345"/>
      <c r="F12" s="351" t="str">
        <f>Confirm!E42</f>
        <v>-</v>
      </c>
      <c r="G12" s="351" t="str">
        <f>Confirm!F42</f>
        <v>-</v>
      </c>
      <c r="H12" s="351" t="str">
        <f>Confirm!G42</f>
        <v>-</v>
      </c>
      <c r="I12" s="351" t="str">
        <f>Confirm!H42</f>
        <v>-</v>
      </c>
      <c r="J12" s="352" t="str">
        <f>Confirm!I42</f>
        <v>-</v>
      </c>
    </row>
    <row r="13" spans="1:23" x14ac:dyDescent="0.2">
      <c r="B13" s="333" t="s">
        <v>559</v>
      </c>
      <c r="C13" s="327" t="s">
        <v>485</v>
      </c>
      <c r="D13" s="327" t="s">
        <v>560</v>
      </c>
      <c r="F13" s="355" t="str">
        <f>Confirm!E45</f>
        <v>-</v>
      </c>
      <c r="G13" s="355" t="str">
        <f>Confirm!F45</f>
        <v>-</v>
      </c>
      <c r="H13" s="355" t="str">
        <f>Confirm!G45</f>
        <v>-</v>
      </c>
      <c r="I13" s="355" t="str">
        <f>Confirm!H45</f>
        <v>-</v>
      </c>
      <c r="J13" s="356" t="str">
        <f>Confirm!I45</f>
        <v>-</v>
      </c>
    </row>
    <row r="14" spans="1:23" x14ac:dyDescent="0.2">
      <c r="B14" s="333"/>
      <c r="C14" s="327" t="s">
        <v>485</v>
      </c>
      <c r="D14" s="327" t="s">
        <v>561</v>
      </c>
      <c r="F14" s="355" t="str">
        <f>Confirm!E46</f>
        <v>-</v>
      </c>
      <c r="G14" s="355" t="str">
        <f>Confirm!F46</f>
        <v>-</v>
      </c>
      <c r="H14" s="355" t="str">
        <f>Confirm!G46</f>
        <v>-</v>
      </c>
      <c r="I14" s="355" t="str">
        <f>Confirm!H46</f>
        <v>-</v>
      </c>
      <c r="J14" s="356" t="str">
        <f>Confirm!I46</f>
        <v>-</v>
      </c>
    </row>
    <row r="15" spans="1:23" x14ac:dyDescent="0.2">
      <c r="B15" s="333"/>
      <c r="C15" s="327" t="s">
        <v>562</v>
      </c>
      <c r="D15" s="327" t="s">
        <v>560</v>
      </c>
      <c r="F15" s="355" t="str">
        <f>Confirm!E50</f>
        <v>-</v>
      </c>
      <c r="G15" s="355" t="str">
        <f>Confirm!F50</f>
        <v>-</v>
      </c>
      <c r="H15" s="355" t="str">
        <f>Confirm!G50</f>
        <v>-</v>
      </c>
      <c r="I15" s="355" t="str">
        <f>Confirm!H50</f>
        <v>-</v>
      </c>
      <c r="J15" s="356" t="str">
        <f>Confirm!I50</f>
        <v>-</v>
      </c>
    </row>
    <row r="16" spans="1:23" x14ac:dyDescent="0.2">
      <c r="B16" s="333"/>
      <c r="C16" s="327" t="s">
        <v>562</v>
      </c>
      <c r="D16" s="327" t="s">
        <v>561</v>
      </c>
      <c r="F16" s="355" t="str">
        <f>Confirm!E51</f>
        <v>-</v>
      </c>
      <c r="G16" s="355" t="str">
        <f>Confirm!F51</f>
        <v>-</v>
      </c>
      <c r="H16" s="355" t="str">
        <f>Confirm!G51</f>
        <v>-</v>
      </c>
      <c r="I16" s="355" t="str">
        <f>Confirm!H51</f>
        <v>-</v>
      </c>
      <c r="J16" s="356" t="str">
        <f>Confirm!I51</f>
        <v>-</v>
      </c>
    </row>
    <row r="17" spans="1:25" ht="12.75" thickBot="1" x14ac:dyDescent="0.25">
      <c r="B17" s="336" t="s">
        <v>563</v>
      </c>
      <c r="C17" s="357"/>
      <c r="D17" s="357"/>
      <c r="E17" s="357"/>
      <c r="F17" s="358" t="str">
        <f>Confirm!E53</f>
        <v>-</v>
      </c>
      <c r="G17" s="358" t="str">
        <f>Confirm!F53</f>
        <v>-</v>
      </c>
      <c r="H17" s="358" t="str">
        <f>Confirm!G53</f>
        <v>-</v>
      </c>
      <c r="I17" s="358" t="str">
        <f>Confirm!H53</f>
        <v>-</v>
      </c>
      <c r="J17" s="359" t="str">
        <f>Confirm!I53</f>
        <v>-</v>
      </c>
    </row>
    <row r="18" spans="1:25" x14ac:dyDescent="0.2">
      <c r="B18" s="360" t="s">
        <v>564</v>
      </c>
      <c r="C18" s="361"/>
    </row>
    <row r="19" spans="1:25" ht="12.75" thickBot="1" x14ac:dyDescent="0.25">
      <c r="B19" s="362" t="str">
        <f>Confirm!E39</f>
        <v>-</v>
      </c>
      <c r="C19" s="363"/>
      <c r="D19" s="364"/>
    </row>
    <row r="20" spans="1:25" ht="12.75" thickBot="1" x14ac:dyDescent="0.25">
      <c r="D20" s="327" t="s">
        <v>91</v>
      </c>
      <c r="G20" s="363"/>
    </row>
    <row r="21" spans="1:25" ht="15.75" customHeight="1" thickBot="1" x14ac:dyDescent="0.25">
      <c r="D21" s="327" t="s">
        <v>565</v>
      </c>
      <c r="F21" s="820" t="s">
        <v>566</v>
      </c>
      <c r="G21" s="821"/>
      <c r="H21" s="821"/>
      <c r="I21" s="821"/>
      <c r="J21" s="821"/>
      <c r="K21" s="821"/>
      <c r="L21" s="821"/>
      <c r="M21" s="821"/>
      <c r="N21" s="821"/>
      <c r="O21" s="821"/>
      <c r="P21" s="821"/>
      <c r="Q21" s="821"/>
      <c r="R21" s="365" t="s">
        <v>567</v>
      </c>
      <c r="S21" s="365"/>
      <c r="T21" s="365"/>
      <c r="U21" s="365"/>
      <c r="V21" s="365"/>
      <c r="W21" s="366"/>
    </row>
    <row r="22" spans="1:25" ht="12.75" thickBot="1" x14ac:dyDescent="0.25">
      <c r="D22" s="327" t="s">
        <v>568</v>
      </c>
      <c r="F22" s="367" t="s">
        <v>569</v>
      </c>
      <c r="G22" s="367"/>
      <c r="H22" s="367"/>
      <c r="I22" s="367"/>
      <c r="J22" s="367"/>
      <c r="K22" s="367"/>
      <c r="L22" s="367"/>
      <c r="M22" s="367" t="s">
        <v>570</v>
      </c>
      <c r="N22" s="367"/>
      <c r="O22" s="367"/>
      <c r="P22" s="367"/>
      <c r="Q22" s="367"/>
      <c r="R22" s="368"/>
      <c r="S22" s="368"/>
      <c r="T22" s="368"/>
      <c r="U22" s="368"/>
      <c r="V22" s="368"/>
      <c r="W22" s="369"/>
      <c r="X22" s="369"/>
      <c r="Y22" s="369"/>
    </row>
    <row r="23" spans="1:25" ht="12.75" thickBot="1" x14ac:dyDescent="0.25">
      <c r="B23" s="813" t="s">
        <v>571</v>
      </c>
      <c r="C23" s="814"/>
      <c r="D23" s="814"/>
      <c r="E23" s="370"/>
      <c r="F23" s="371">
        <v>2023</v>
      </c>
      <c r="G23" s="372">
        <v>2024</v>
      </c>
      <c r="H23" s="372">
        <v>2025</v>
      </c>
      <c r="I23" s="372" t="s">
        <v>572</v>
      </c>
      <c r="J23" s="372" t="s">
        <v>573</v>
      </c>
      <c r="K23" s="373" t="s">
        <v>574</v>
      </c>
      <c r="L23" s="371">
        <f>F23</f>
        <v>2023</v>
      </c>
      <c r="M23" s="371">
        <f t="shared" ref="M23:W23" si="2">G23</f>
        <v>2024</v>
      </c>
      <c r="N23" s="371">
        <f t="shared" si="2"/>
        <v>2025</v>
      </c>
      <c r="O23" s="371" t="str">
        <f t="shared" si="2"/>
        <v>I-2025</v>
      </c>
      <c r="P23" s="371" t="str">
        <f t="shared" si="2"/>
        <v>I-2026</v>
      </c>
      <c r="Q23" s="371" t="str">
        <f t="shared" si="2"/>
        <v>POID/POIS</v>
      </c>
      <c r="R23" s="372">
        <f t="shared" si="2"/>
        <v>2023</v>
      </c>
      <c r="S23" s="372">
        <f t="shared" si="2"/>
        <v>2024</v>
      </c>
      <c r="T23" s="372">
        <f t="shared" si="2"/>
        <v>2025</v>
      </c>
      <c r="U23" s="372" t="str">
        <f t="shared" si="2"/>
        <v>I-2025</v>
      </c>
      <c r="V23" s="372" t="str">
        <f t="shared" si="2"/>
        <v>I-2026</v>
      </c>
      <c r="W23" s="373" t="str">
        <f t="shared" si="2"/>
        <v>POID/POIS</v>
      </c>
    </row>
    <row r="24" spans="1:25" ht="12.75" thickBot="1" x14ac:dyDescent="0.25">
      <c r="A24" s="374" t="s">
        <v>553</v>
      </c>
      <c r="B24" s="328" t="s">
        <v>550</v>
      </c>
      <c r="C24" s="375" t="s">
        <v>551</v>
      </c>
      <c r="D24" s="375" t="s">
        <v>575</v>
      </c>
      <c r="E24" s="376" t="s">
        <v>576</v>
      </c>
      <c r="F24" s="377" t="s">
        <v>577</v>
      </c>
      <c r="G24" s="377" t="s">
        <v>577</v>
      </c>
      <c r="H24" s="377" t="s">
        <v>577</v>
      </c>
      <c r="I24" s="377" t="s">
        <v>577</v>
      </c>
      <c r="J24" s="377" t="s">
        <v>577</v>
      </c>
      <c r="K24" s="378" t="s">
        <v>577</v>
      </c>
      <c r="L24" s="377" t="s">
        <v>578</v>
      </c>
      <c r="M24" s="377" t="s">
        <v>578</v>
      </c>
      <c r="N24" s="377" t="s">
        <v>578</v>
      </c>
      <c r="O24" s="377" t="s">
        <v>578</v>
      </c>
      <c r="P24" s="377" t="s">
        <v>578</v>
      </c>
      <c r="Q24" s="378" t="s">
        <v>578</v>
      </c>
      <c r="R24" s="379" t="s">
        <v>579</v>
      </c>
      <c r="S24" s="379" t="s">
        <v>579</v>
      </c>
      <c r="T24" s="379" t="s">
        <v>579</v>
      </c>
      <c r="U24" s="379" t="s">
        <v>579</v>
      </c>
      <c r="V24" s="379" t="s">
        <v>579</v>
      </c>
      <c r="W24" s="380" t="s">
        <v>579</v>
      </c>
    </row>
    <row r="25" spans="1:25" s="390" customFormat="1" x14ac:dyDescent="0.2">
      <c r="A25" s="381" t="str">
        <f>A8</f>
        <v/>
      </c>
      <c r="B25" s="382" t="s">
        <v>552</v>
      </c>
      <c r="C25" s="383">
        <f>'Imp-Aus'!$G$22</f>
        <v>0</v>
      </c>
      <c r="D25" s="383" t="s">
        <v>91</v>
      </c>
      <c r="E25" s="384" t="s">
        <v>580</v>
      </c>
      <c r="F25" s="385">
        <f>'Imp-Aus'!G$26</f>
        <v>0</v>
      </c>
      <c r="G25" s="385">
        <f>'Imp-Aus'!H$26</f>
        <v>0</v>
      </c>
      <c r="H25" s="385">
        <f>'Imp-Aus'!I$26</f>
        <v>0</v>
      </c>
      <c r="I25" s="385">
        <f>'Imp-Aus'!J$26</f>
        <v>0</v>
      </c>
      <c r="J25" s="386">
        <f>'Imp-Aus'!K$26</f>
        <v>0</v>
      </c>
      <c r="K25" s="387">
        <f>'Imp-Aus'!F$237</f>
        <v>0</v>
      </c>
      <c r="L25" s="385">
        <f>'Imp-Aus'!G$27/1000</f>
        <v>0</v>
      </c>
      <c r="M25" s="385">
        <f>'Imp-Aus'!H$27/1000</f>
        <v>0</v>
      </c>
      <c r="N25" s="385">
        <f>'Imp-Aus'!I$27/1000</f>
        <v>0</v>
      </c>
      <c r="O25" s="385">
        <f>'Imp-Aus'!J$27/1000</f>
        <v>0</v>
      </c>
      <c r="P25" s="386">
        <f>'Imp-Aus'!K$27/1000</f>
        <v>0</v>
      </c>
      <c r="Q25" s="387">
        <f>'Imp-Aus'!F$238/1000</f>
        <v>0</v>
      </c>
      <c r="R25" s="388">
        <f>(IF(ISERROR(L25/F25),0,L25/F25))*1000</f>
        <v>0</v>
      </c>
      <c r="S25" s="388">
        <f t="shared" ref="S25:W40" si="3">(IF(ISERROR(M25/G25),0,M25/G25))*1000</f>
        <v>0</v>
      </c>
      <c r="T25" s="388">
        <f t="shared" si="3"/>
        <v>0</v>
      </c>
      <c r="U25" s="388">
        <f t="shared" si="3"/>
        <v>0</v>
      </c>
      <c r="V25" s="388">
        <f t="shared" si="3"/>
        <v>0</v>
      </c>
      <c r="W25" s="389">
        <f t="shared" si="3"/>
        <v>0</v>
      </c>
    </row>
    <row r="26" spans="1:25" x14ac:dyDescent="0.2">
      <c r="A26" s="381" t="str">
        <f t="shared" ref="A26:A28" si="4">A9</f>
        <v/>
      </c>
      <c r="B26" s="333" t="s">
        <v>552</v>
      </c>
      <c r="C26" s="327">
        <f>C25</f>
        <v>0</v>
      </c>
      <c r="D26" s="327" t="s">
        <v>565</v>
      </c>
      <c r="E26" s="391" t="s">
        <v>581</v>
      </c>
      <c r="F26" s="392">
        <f>'Imp-Aus'!G$31</f>
        <v>0</v>
      </c>
      <c r="G26" s="392">
        <f>'Imp-Aus'!H$31</f>
        <v>0</v>
      </c>
      <c r="H26" s="392">
        <f>'Imp-Aus'!I$31</f>
        <v>0</v>
      </c>
      <c r="I26" s="392">
        <f>'Imp-Aus'!J$31</f>
        <v>0</v>
      </c>
      <c r="J26" s="393">
        <f>'Imp-Aus'!K$31</f>
        <v>0</v>
      </c>
      <c r="K26" s="394"/>
      <c r="L26" s="392">
        <f>'Imp-Aus'!G$32/1000</f>
        <v>0</v>
      </c>
      <c r="M26" s="392">
        <f>'Imp-Aus'!H$32/1000</f>
        <v>0</v>
      </c>
      <c r="N26" s="392">
        <f>'Imp-Aus'!I$32/1000</f>
        <v>0</v>
      </c>
      <c r="O26" s="392">
        <f>'Imp-Aus'!J$32/1000</f>
        <v>0</v>
      </c>
      <c r="P26" s="393">
        <f>'Imp-Aus'!K$32/1000</f>
        <v>0</v>
      </c>
      <c r="Q26" s="394"/>
      <c r="R26" s="395">
        <f t="shared" ref="R26:W59" si="5">(IF(ISERROR(L26/F26),0,L26/F26))*1000</f>
        <v>0</v>
      </c>
      <c r="S26" s="395">
        <f t="shared" si="3"/>
        <v>0</v>
      </c>
      <c r="T26" s="395">
        <f t="shared" si="3"/>
        <v>0</v>
      </c>
      <c r="U26" s="395">
        <f t="shared" si="3"/>
        <v>0</v>
      </c>
      <c r="V26" s="395">
        <f t="shared" si="3"/>
        <v>0</v>
      </c>
      <c r="W26" s="396">
        <f t="shared" si="3"/>
        <v>0</v>
      </c>
    </row>
    <row r="27" spans="1:25" x14ac:dyDescent="0.2">
      <c r="A27" s="381" t="str">
        <f t="shared" si="4"/>
        <v/>
      </c>
      <c r="B27" s="333" t="s">
        <v>552</v>
      </c>
      <c r="C27" s="327">
        <f>C26</f>
        <v>0</v>
      </c>
      <c r="D27" s="327" t="s">
        <v>565</v>
      </c>
      <c r="E27" s="391" t="s">
        <v>561</v>
      </c>
      <c r="F27" s="397">
        <f>'Imp-Aus'!G$34</f>
        <v>0</v>
      </c>
      <c r="G27" s="397">
        <f>'Imp-Aus'!H$34</f>
        <v>0</v>
      </c>
      <c r="H27" s="397">
        <f>'Imp-Aus'!I$34</f>
        <v>0</v>
      </c>
      <c r="I27" s="397">
        <f>'Imp-Aus'!J$34</f>
        <v>0</v>
      </c>
      <c r="J27" s="398">
        <f>'Imp-Aus'!K$34</f>
        <v>0</v>
      </c>
      <c r="K27" s="399"/>
      <c r="L27" s="397">
        <f>'Imp-Aus'!G$35/1000</f>
        <v>0</v>
      </c>
      <c r="M27" s="397">
        <f>'Imp-Aus'!H$35/1000</f>
        <v>0</v>
      </c>
      <c r="N27" s="397">
        <f>'Imp-Aus'!I$35/1000</f>
        <v>0</v>
      </c>
      <c r="O27" s="397">
        <f>'Imp-Aus'!J$35/1000</f>
        <v>0</v>
      </c>
      <c r="P27" s="398">
        <f>'Imp-Aus'!K$35/1000</f>
        <v>0</v>
      </c>
      <c r="Q27" s="399"/>
      <c r="R27" s="395">
        <f t="shared" si="5"/>
        <v>0</v>
      </c>
      <c r="S27" s="395">
        <f t="shared" si="3"/>
        <v>0</v>
      </c>
      <c r="T27" s="395">
        <f t="shared" si="3"/>
        <v>0</v>
      </c>
      <c r="U27" s="395">
        <f t="shared" si="3"/>
        <v>0</v>
      </c>
      <c r="V27" s="395">
        <f t="shared" si="3"/>
        <v>0</v>
      </c>
      <c r="W27" s="396">
        <f t="shared" si="3"/>
        <v>0</v>
      </c>
    </row>
    <row r="28" spans="1:25" ht="12.75" thickBot="1" x14ac:dyDescent="0.25">
      <c r="A28" s="400" t="str">
        <f t="shared" si="4"/>
        <v/>
      </c>
      <c r="B28" s="333" t="s">
        <v>552</v>
      </c>
      <c r="C28" s="327">
        <f>C27</f>
        <v>0</v>
      </c>
      <c r="D28" s="327" t="s">
        <v>568</v>
      </c>
      <c r="E28" s="391" t="s">
        <v>581</v>
      </c>
      <c r="F28" s="401">
        <f>'Imp-Aus'!G$38</f>
        <v>0</v>
      </c>
      <c r="G28" s="401">
        <f>'Imp-Aus'!H$38</f>
        <v>0</v>
      </c>
      <c r="H28" s="401">
        <f>'Imp-Aus'!I$38</f>
        <v>0</v>
      </c>
      <c r="I28" s="401">
        <f>'Imp-Aus'!J$38</f>
        <v>0</v>
      </c>
      <c r="J28" s="402">
        <f>'Imp-Aus'!K$38</f>
        <v>0</v>
      </c>
      <c r="K28" s="403"/>
      <c r="L28" s="401">
        <f>'Imp-Aus'!G$39/1000</f>
        <v>0</v>
      </c>
      <c r="M28" s="401">
        <f>'Imp-Aus'!H$39/1000</f>
        <v>0</v>
      </c>
      <c r="N28" s="401">
        <f>'Imp-Aus'!I$39/1000</f>
        <v>0</v>
      </c>
      <c r="O28" s="401">
        <f>'Imp-Aus'!J$39/1000</f>
        <v>0</v>
      </c>
      <c r="P28" s="402">
        <f>'Imp-Aus'!K$39/1000</f>
        <v>0</v>
      </c>
      <c r="Q28" s="403"/>
      <c r="R28" s="395">
        <f t="shared" si="5"/>
        <v>0</v>
      </c>
      <c r="S28" s="395">
        <f t="shared" si="3"/>
        <v>0</v>
      </c>
      <c r="T28" s="395">
        <f t="shared" si="3"/>
        <v>0</v>
      </c>
      <c r="U28" s="395">
        <f t="shared" si="3"/>
        <v>0</v>
      </c>
      <c r="V28" s="395">
        <f t="shared" si="3"/>
        <v>0</v>
      </c>
      <c r="W28" s="396">
        <f t="shared" si="3"/>
        <v>0</v>
      </c>
    </row>
    <row r="29" spans="1:25" x14ac:dyDescent="0.2">
      <c r="A29" s="404"/>
      <c r="B29" s="333" t="s">
        <v>552</v>
      </c>
      <c r="C29" s="327">
        <f>C28</f>
        <v>0</v>
      </c>
      <c r="D29" s="327" t="s">
        <v>568</v>
      </c>
      <c r="E29" s="391" t="s">
        <v>561</v>
      </c>
      <c r="F29" s="405">
        <f>'Imp-Aus'!G$41</f>
        <v>0</v>
      </c>
      <c r="G29" s="405">
        <f>'Imp-Aus'!H$41</f>
        <v>0</v>
      </c>
      <c r="H29" s="405">
        <f>'Imp-Aus'!I$41</f>
        <v>0</v>
      </c>
      <c r="I29" s="405">
        <f>'Imp-Aus'!J$41</f>
        <v>0</v>
      </c>
      <c r="J29" s="406">
        <f>'Imp-Aus'!K$41</f>
        <v>0</v>
      </c>
      <c r="K29" s="407"/>
      <c r="L29" s="405">
        <f>'Imp-Aus'!G$42/1000</f>
        <v>0</v>
      </c>
      <c r="M29" s="405">
        <f>'Imp-Aus'!H$42/1000</f>
        <v>0</v>
      </c>
      <c r="N29" s="405">
        <f>'Imp-Aus'!I$42/1000</f>
        <v>0</v>
      </c>
      <c r="O29" s="405">
        <f>'Imp-Aus'!J$42/1000</f>
        <v>0</v>
      </c>
      <c r="P29" s="406">
        <f>'Imp-Aus'!K$42/1000</f>
        <v>0</v>
      </c>
      <c r="Q29" s="407"/>
      <c r="R29" s="395">
        <f t="shared" si="5"/>
        <v>0</v>
      </c>
      <c r="S29" s="395">
        <f t="shared" si="3"/>
        <v>0</v>
      </c>
      <c r="T29" s="395">
        <f t="shared" si="3"/>
        <v>0</v>
      </c>
      <c r="U29" s="395">
        <f t="shared" si="3"/>
        <v>0</v>
      </c>
      <c r="V29" s="395">
        <f t="shared" si="3"/>
        <v>0</v>
      </c>
      <c r="W29" s="396">
        <f t="shared" si="3"/>
        <v>0</v>
      </c>
    </row>
    <row r="30" spans="1:25" s="390" customFormat="1" x14ac:dyDescent="0.2">
      <c r="A30" s="408"/>
      <c r="B30" s="409" t="s">
        <v>552</v>
      </c>
      <c r="C30" s="390">
        <f>'Imp-Aus2'!$G$22</f>
        <v>0</v>
      </c>
      <c r="D30" s="390" t="str">
        <f>D25</f>
        <v>Imports</v>
      </c>
      <c r="E30" s="410" t="s">
        <v>580</v>
      </c>
      <c r="F30" s="401">
        <f>'Imp-Aus2'!G$26</f>
        <v>0</v>
      </c>
      <c r="G30" s="401">
        <f>'Imp-Aus2'!H$26</f>
        <v>0</v>
      </c>
      <c r="H30" s="401">
        <f>'Imp-Aus2'!I$26</f>
        <v>0</v>
      </c>
      <c r="I30" s="401">
        <f>'Imp-Aus2'!J$26</f>
        <v>0</v>
      </c>
      <c r="J30" s="402">
        <f>'Imp-Aus2'!K$26</f>
        <v>0</v>
      </c>
      <c r="K30" s="403">
        <f>'Imp-Aus2'!F$237</f>
        <v>0</v>
      </c>
      <c r="L30" s="401">
        <f>'Imp-Aus2'!G$27/1000</f>
        <v>0</v>
      </c>
      <c r="M30" s="401">
        <f>'Imp-Aus2'!H$27/1000</f>
        <v>0</v>
      </c>
      <c r="N30" s="401">
        <f>'Imp-Aus2'!I$27/1000</f>
        <v>0</v>
      </c>
      <c r="O30" s="401">
        <f>'Imp-Aus2'!J$27/1000</f>
        <v>0</v>
      </c>
      <c r="P30" s="402">
        <f>'Imp-Aus2'!K$27/1000</f>
        <v>0</v>
      </c>
      <c r="Q30" s="403">
        <f>'Imp-Aus2'!F$238/1000</f>
        <v>0</v>
      </c>
      <c r="R30" s="411">
        <f t="shared" si="5"/>
        <v>0</v>
      </c>
      <c r="S30" s="411">
        <f t="shared" si="3"/>
        <v>0</v>
      </c>
      <c r="T30" s="411">
        <f t="shared" si="3"/>
        <v>0</v>
      </c>
      <c r="U30" s="411">
        <f t="shared" si="3"/>
        <v>0</v>
      </c>
      <c r="V30" s="411">
        <f t="shared" si="3"/>
        <v>0</v>
      </c>
      <c r="W30" s="412">
        <f t="shared" si="3"/>
        <v>0</v>
      </c>
    </row>
    <row r="31" spans="1:25" x14ac:dyDescent="0.2">
      <c r="A31" s="413"/>
      <c r="B31" s="333" t="s">
        <v>552</v>
      </c>
      <c r="C31" s="327">
        <f>C30</f>
        <v>0</v>
      </c>
      <c r="D31" s="327" t="str">
        <f>D26</f>
        <v>Seamless Sales</v>
      </c>
      <c r="E31" s="391" t="s">
        <v>581</v>
      </c>
      <c r="F31" s="397">
        <f>'Imp-Aus2'!G$31</f>
        <v>0</v>
      </c>
      <c r="G31" s="397">
        <f>'Imp-Aus2'!H$31</f>
        <v>0</v>
      </c>
      <c r="H31" s="397">
        <f>'Imp-Aus2'!I$31</f>
        <v>0</v>
      </c>
      <c r="I31" s="397">
        <f>'Imp-Aus2'!J$31</f>
        <v>0</v>
      </c>
      <c r="J31" s="398">
        <f>'Imp-Aus2'!K$31</f>
        <v>0</v>
      </c>
      <c r="K31" s="399"/>
      <c r="L31" s="397">
        <f>'Imp-Aus2'!G$32/1000</f>
        <v>0</v>
      </c>
      <c r="M31" s="397">
        <f>'Imp-Aus2'!H$32/1000</f>
        <v>0</v>
      </c>
      <c r="N31" s="397">
        <f>'Imp-Aus2'!I$32/1000</f>
        <v>0</v>
      </c>
      <c r="O31" s="397">
        <f>'Imp-Aus2'!J$32/1000</f>
        <v>0</v>
      </c>
      <c r="P31" s="398">
        <f>'Imp-Aus2'!K$32/1000</f>
        <v>0</v>
      </c>
      <c r="Q31" s="399"/>
      <c r="R31" s="395">
        <f t="shared" si="5"/>
        <v>0</v>
      </c>
      <c r="S31" s="395">
        <f t="shared" si="3"/>
        <v>0</v>
      </c>
      <c r="T31" s="395">
        <f t="shared" si="3"/>
        <v>0</v>
      </c>
      <c r="U31" s="395">
        <f t="shared" si="3"/>
        <v>0</v>
      </c>
      <c r="V31" s="395">
        <f t="shared" si="3"/>
        <v>0</v>
      </c>
      <c r="W31" s="396">
        <f t="shared" si="3"/>
        <v>0</v>
      </c>
    </row>
    <row r="32" spans="1:25" x14ac:dyDescent="0.2">
      <c r="B32" s="333" t="s">
        <v>552</v>
      </c>
      <c r="C32" s="327">
        <f>C31</f>
        <v>0</v>
      </c>
      <c r="D32" s="327" t="str">
        <f>D27</f>
        <v>Seamless Sales</v>
      </c>
      <c r="E32" s="391" t="s">
        <v>561</v>
      </c>
      <c r="F32" s="401">
        <f>'Imp-Aus2'!G$34</f>
        <v>0</v>
      </c>
      <c r="G32" s="401">
        <f>'Imp-Aus2'!H$34</f>
        <v>0</v>
      </c>
      <c r="H32" s="401">
        <f>'Imp-Aus2'!I$34</f>
        <v>0</v>
      </c>
      <c r="I32" s="401">
        <f>'Imp-Aus2'!J$34</f>
        <v>0</v>
      </c>
      <c r="J32" s="402">
        <f>'Imp-Aus2'!K$34</f>
        <v>0</v>
      </c>
      <c r="K32" s="403"/>
      <c r="L32" s="401">
        <f>'Imp-Aus2'!G$35/1000</f>
        <v>0</v>
      </c>
      <c r="M32" s="401">
        <f>'Imp-Aus2'!H$35/1000</f>
        <v>0</v>
      </c>
      <c r="N32" s="401">
        <f>'Imp-Aus2'!I$35/1000</f>
        <v>0</v>
      </c>
      <c r="O32" s="401">
        <f>'Imp-Aus2'!J$35/1000</f>
        <v>0</v>
      </c>
      <c r="P32" s="402">
        <f>'Imp-Aus2'!K$35/1000</f>
        <v>0</v>
      </c>
      <c r="Q32" s="414"/>
      <c r="R32" s="395">
        <f t="shared" si="5"/>
        <v>0</v>
      </c>
      <c r="S32" s="395">
        <f t="shared" si="3"/>
        <v>0</v>
      </c>
      <c r="T32" s="395">
        <f t="shared" si="3"/>
        <v>0</v>
      </c>
      <c r="U32" s="395">
        <f t="shared" si="3"/>
        <v>0</v>
      </c>
      <c r="V32" s="395">
        <f t="shared" si="3"/>
        <v>0</v>
      </c>
      <c r="W32" s="396">
        <f t="shared" si="3"/>
        <v>0</v>
      </c>
    </row>
    <row r="33" spans="2:23" x14ac:dyDescent="0.2">
      <c r="B33" s="333" t="s">
        <v>552</v>
      </c>
      <c r="C33" s="327">
        <f t="shared" ref="C33:C34" si="6">C32</f>
        <v>0</v>
      </c>
      <c r="D33" s="327" t="str">
        <f t="shared" ref="D33:D49" si="7">D28</f>
        <v>ERW Sales</v>
      </c>
      <c r="E33" s="391" t="s">
        <v>581</v>
      </c>
      <c r="F33" s="415">
        <f>'Imp-Aus2'!G$38</f>
        <v>0</v>
      </c>
      <c r="G33" s="415">
        <f>'Imp-Aus2'!H$38</f>
        <v>0</v>
      </c>
      <c r="H33" s="397">
        <f>'Imp-Aus2'!I$38</f>
        <v>0</v>
      </c>
      <c r="I33" s="397">
        <f>'Imp-Aus2'!J$38</f>
        <v>0</v>
      </c>
      <c r="J33" s="398">
        <f>'Imp-Aus2'!K$38</f>
        <v>0</v>
      </c>
      <c r="K33" s="399"/>
      <c r="L33" s="415">
        <f>'Imp-Aus2'!G$39/1000</f>
        <v>0</v>
      </c>
      <c r="M33" s="415">
        <f>'Imp-Aus2'!H$39/1000</f>
        <v>0</v>
      </c>
      <c r="N33" s="397">
        <f>'Imp-Aus2'!I$39/1000</f>
        <v>0</v>
      </c>
      <c r="O33" s="397">
        <f>'Imp-Aus2'!J$39/1000</f>
        <v>0</v>
      </c>
      <c r="P33" s="398">
        <f>'Imp-Aus2'!K$39/1000</f>
        <v>0</v>
      </c>
      <c r="Q33" s="399"/>
      <c r="R33" s="395">
        <f t="shared" si="5"/>
        <v>0</v>
      </c>
      <c r="S33" s="395">
        <f t="shared" si="3"/>
        <v>0</v>
      </c>
      <c r="T33" s="395">
        <f t="shared" si="3"/>
        <v>0</v>
      </c>
      <c r="U33" s="395">
        <f t="shared" si="3"/>
        <v>0</v>
      </c>
      <c r="V33" s="395">
        <f t="shared" si="3"/>
        <v>0</v>
      </c>
      <c r="W33" s="396">
        <f t="shared" si="3"/>
        <v>0</v>
      </c>
    </row>
    <row r="34" spans="2:23" x14ac:dyDescent="0.2">
      <c r="B34" s="333" t="s">
        <v>552</v>
      </c>
      <c r="C34" s="327">
        <f t="shared" si="6"/>
        <v>0</v>
      </c>
      <c r="D34" s="327" t="str">
        <f t="shared" si="7"/>
        <v>ERW Sales</v>
      </c>
      <c r="E34" s="391" t="s">
        <v>561</v>
      </c>
      <c r="F34" s="392">
        <f>'Imp-Aus2'!G$41</f>
        <v>0</v>
      </c>
      <c r="G34" s="392">
        <f>'Imp-Aus2'!H$41</f>
        <v>0</v>
      </c>
      <c r="H34" s="392">
        <f>'Imp-Aus2'!I$41</f>
        <v>0</v>
      </c>
      <c r="I34" s="392">
        <f>'Imp-Aus2'!J$41</f>
        <v>0</v>
      </c>
      <c r="J34" s="393">
        <f>'Imp-Aus2'!K$41</f>
        <v>0</v>
      </c>
      <c r="K34" s="394"/>
      <c r="L34" s="392">
        <f>'Imp-Aus2'!G$42/1000</f>
        <v>0</v>
      </c>
      <c r="M34" s="392">
        <f>'Imp-Aus2'!H$42/1000</f>
        <v>0</v>
      </c>
      <c r="N34" s="392">
        <f>'Imp-Aus2'!I$42/1000</f>
        <v>0</v>
      </c>
      <c r="O34" s="392">
        <f>'Imp-Aus2'!J$42/1000</f>
        <v>0</v>
      </c>
      <c r="P34" s="393">
        <f>'Imp-Aus2'!K$42/1000</f>
        <v>0</v>
      </c>
      <c r="Q34" s="394"/>
      <c r="R34" s="395">
        <f t="shared" si="5"/>
        <v>0</v>
      </c>
      <c r="S34" s="395">
        <f t="shared" si="3"/>
        <v>0</v>
      </c>
      <c r="T34" s="395">
        <f t="shared" si="3"/>
        <v>0</v>
      </c>
      <c r="U34" s="395">
        <f t="shared" si="3"/>
        <v>0</v>
      </c>
      <c r="V34" s="395">
        <f t="shared" si="3"/>
        <v>0</v>
      </c>
      <c r="W34" s="396">
        <f t="shared" si="3"/>
        <v>0</v>
      </c>
    </row>
    <row r="35" spans="2:23" s="390" customFormat="1" x14ac:dyDescent="0.2">
      <c r="B35" s="409" t="s">
        <v>552</v>
      </c>
      <c r="C35" s="390">
        <f>'Imp-Aus3'!$G$22</f>
        <v>0</v>
      </c>
      <c r="D35" s="390" t="str">
        <f t="shared" si="7"/>
        <v>Imports</v>
      </c>
      <c r="E35" s="410" t="s">
        <v>580</v>
      </c>
      <c r="F35" s="405">
        <f>'Imp-Aus3'!G$26</f>
        <v>0</v>
      </c>
      <c r="G35" s="405">
        <f>'Imp-Aus3'!H$26</f>
        <v>0</v>
      </c>
      <c r="H35" s="405">
        <f>'Imp-Aus3'!I$26</f>
        <v>0</v>
      </c>
      <c r="I35" s="405">
        <f>'Imp-Aus3'!J$26</f>
        <v>0</v>
      </c>
      <c r="J35" s="406">
        <f>'Imp-Aus3'!K$26</f>
        <v>0</v>
      </c>
      <c r="K35" s="407">
        <f>'Imp-Aus3'!F$237</f>
        <v>0</v>
      </c>
      <c r="L35" s="405">
        <f>'Imp-Aus3'!G$27/1000</f>
        <v>0</v>
      </c>
      <c r="M35" s="405">
        <f>'Imp-Aus3'!H$27/1000</f>
        <v>0</v>
      </c>
      <c r="N35" s="405">
        <f>'Imp-Aus3'!I$27/1000</f>
        <v>0</v>
      </c>
      <c r="O35" s="405">
        <f>'Imp-Aus3'!J$27/1000</f>
        <v>0</v>
      </c>
      <c r="P35" s="406">
        <f>'Imp-Aus3'!K$27/1000</f>
        <v>0</v>
      </c>
      <c r="Q35" s="407">
        <f>'Imp-Aus3'!F$238/1000</f>
        <v>0</v>
      </c>
      <c r="R35" s="411">
        <f t="shared" si="5"/>
        <v>0</v>
      </c>
      <c r="S35" s="411">
        <f t="shared" si="3"/>
        <v>0</v>
      </c>
      <c r="T35" s="411">
        <f t="shared" si="3"/>
        <v>0</v>
      </c>
      <c r="U35" s="411">
        <f t="shared" si="3"/>
        <v>0</v>
      </c>
      <c r="V35" s="411">
        <f t="shared" si="3"/>
        <v>0</v>
      </c>
      <c r="W35" s="412">
        <f t="shared" si="3"/>
        <v>0</v>
      </c>
    </row>
    <row r="36" spans="2:23" x14ac:dyDescent="0.2">
      <c r="B36" s="333" t="s">
        <v>552</v>
      </c>
      <c r="C36" s="327">
        <f>C35</f>
        <v>0</v>
      </c>
      <c r="D36" s="327" t="str">
        <f t="shared" si="7"/>
        <v>Seamless Sales</v>
      </c>
      <c r="E36" s="391" t="s">
        <v>581</v>
      </c>
      <c r="F36" s="401">
        <f>'Imp-Aus3'!G$31</f>
        <v>0</v>
      </c>
      <c r="G36" s="401">
        <f>'Imp-Aus3'!H$31</f>
        <v>0</v>
      </c>
      <c r="H36" s="401">
        <f>'Imp-Aus3'!I$31</f>
        <v>0</v>
      </c>
      <c r="I36" s="401">
        <f>'Imp-Aus3'!J$31</f>
        <v>0</v>
      </c>
      <c r="J36" s="402">
        <f>'Imp-Aus3'!K$31</f>
        <v>0</v>
      </c>
      <c r="K36" s="403"/>
      <c r="L36" s="401">
        <f>'Imp-Aus3'!G$32/1000</f>
        <v>0</v>
      </c>
      <c r="M36" s="401">
        <f>'Imp-Aus3'!H$32/1000</f>
        <v>0</v>
      </c>
      <c r="N36" s="401">
        <f>'Imp-Aus3'!I$32/1000</f>
        <v>0</v>
      </c>
      <c r="O36" s="401">
        <f>'Imp-Aus3'!J$32/1000</f>
        <v>0</v>
      </c>
      <c r="P36" s="402">
        <f>'Imp-Aus3'!K$32/1000</f>
        <v>0</v>
      </c>
      <c r="Q36" s="403"/>
      <c r="R36" s="395">
        <f t="shared" si="5"/>
        <v>0</v>
      </c>
      <c r="S36" s="395">
        <f t="shared" si="3"/>
        <v>0</v>
      </c>
      <c r="T36" s="395">
        <f t="shared" si="3"/>
        <v>0</v>
      </c>
      <c r="U36" s="395">
        <f t="shared" si="3"/>
        <v>0</v>
      </c>
      <c r="V36" s="395">
        <f t="shared" si="3"/>
        <v>0</v>
      </c>
      <c r="W36" s="396">
        <f t="shared" si="3"/>
        <v>0</v>
      </c>
    </row>
    <row r="37" spans="2:23" x14ac:dyDescent="0.2">
      <c r="B37" s="333" t="s">
        <v>552</v>
      </c>
      <c r="C37" s="327">
        <f>C36</f>
        <v>0</v>
      </c>
      <c r="D37" s="327" t="str">
        <f t="shared" si="7"/>
        <v>Seamless Sales</v>
      </c>
      <c r="E37" s="391" t="s">
        <v>561</v>
      </c>
      <c r="F37" s="405">
        <f>'Imp-Aus3'!G$34</f>
        <v>0</v>
      </c>
      <c r="G37" s="405">
        <f>'Imp-Aus3'!H$34</f>
        <v>0</v>
      </c>
      <c r="H37" s="405">
        <f>'Imp-Aus3'!I$34</f>
        <v>0</v>
      </c>
      <c r="I37" s="405">
        <f>'Imp-Aus3'!J$34</f>
        <v>0</v>
      </c>
      <c r="J37" s="406">
        <f>'Imp-Aus3'!K$34</f>
        <v>0</v>
      </c>
      <c r="K37" s="407"/>
      <c r="L37" s="405">
        <f>'Imp-Aus3'!G$35/1000</f>
        <v>0</v>
      </c>
      <c r="M37" s="405">
        <f>'Imp-Aus3'!H$35/1000</f>
        <v>0</v>
      </c>
      <c r="N37" s="405">
        <f>'Imp-Aus3'!I$35/1000</f>
        <v>0</v>
      </c>
      <c r="O37" s="405">
        <f>'Imp-Aus3'!J$35/1000</f>
        <v>0</v>
      </c>
      <c r="P37" s="406">
        <f>'Imp-Aus3'!K$35/1000</f>
        <v>0</v>
      </c>
      <c r="Q37" s="407"/>
      <c r="R37" s="395">
        <f t="shared" si="5"/>
        <v>0</v>
      </c>
      <c r="S37" s="395">
        <f t="shared" si="3"/>
        <v>0</v>
      </c>
      <c r="T37" s="395">
        <f t="shared" si="3"/>
        <v>0</v>
      </c>
      <c r="U37" s="395">
        <f t="shared" si="3"/>
        <v>0</v>
      </c>
      <c r="V37" s="395">
        <f t="shared" si="3"/>
        <v>0</v>
      </c>
      <c r="W37" s="396">
        <f t="shared" si="3"/>
        <v>0</v>
      </c>
    </row>
    <row r="38" spans="2:23" x14ac:dyDescent="0.2">
      <c r="B38" s="333" t="s">
        <v>552</v>
      </c>
      <c r="C38" s="327">
        <f t="shared" ref="C38:C39" si="8">C37</f>
        <v>0</v>
      </c>
      <c r="D38" s="327" t="str">
        <f t="shared" si="7"/>
        <v>ERW Sales</v>
      </c>
      <c r="E38" s="391" t="s">
        <v>581</v>
      </c>
      <c r="F38" s="392">
        <f>'Imp-Aus3'!G$38</f>
        <v>0</v>
      </c>
      <c r="G38" s="392">
        <f>'Imp-Aus3'!H$38</f>
        <v>0</v>
      </c>
      <c r="H38" s="392">
        <f>'Imp-Aus3'!I$38</f>
        <v>0</v>
      </c>
      <c r="I38" s="392">
        <f>'Imp-Aus3'!J$38</f>
        <v>0</v>
      </c>
      <c r="J38" s="393">
        <f>'Imp-Aus3'!K$38</f>
        <v>0</v>
      </c>
      <c r="K38" s="394"/>
      <c r="L38" s="392">
        <f>'Imp-Aus3'!G$39/1000</f>
        <v>0</v>
      </c>
      <c r="M38" s="392">
        <f>'Imp-Aus3'!H$39/1000</f>
        <v>0</v>
      </c>
      <c r="N38" s="392">
        <f>'Imp-Aus3'!I$39/1000</f>
        <v>0</v>
      </c>
      <c r="O38" s="392">
        <f>'Imp-Aus3'!J$39/1000</f>
        <v>0</v>
      </c>
      <c r="P38" s="393">
        <f>'Imp-Aus3'!K$39/1000</f>
        <v>0</v>
      </c>
      <c r="Q38" s="394"/>
      <c r="R38" s="395">
        <f t="shared" si="5"/>
        <v>0</v>
      </c>
      <c r="S38" s="395">
        <f t="shared" si="3"/>
        <v>0</v>
      </c>
      <c r="T38" s="395">
        <f t="shared" si="3"/>
        <v>0</v>
      </c>
      <c r="U38" s="395">
        <f t="shared" si="3"/>
        <v>0</v>
      </c>
      <c r="V38" s="395">
        <f t="shared" si="3"/>
        <v>0</v>
      </c>
      <c r="W38" s="396">
        <f t="shared" si="3"/>
        <v>0</v>
      </c>
    </row>
    <row r="39" spans="2:23" x14ac:dyDescent="0.2">
      <c r="B39" s="333" t="s">
        <v>552</v>
      </c>
      <c r="C39" s="327">
        <f t="shared" si="8"/>
        <v>0</v>
      </c>
      <c r="D39" s="327" t="str">
        <f t="shared" si="7"/>
        <v>ERW Sales</v>
      </c>
      <c r="E39" s="391" t="s">
        <v>561</v>
      </c>
      <c r="F39" s="397">
        <f>'Imp-Aus3'!G$41</f>
        <v>0</v>
      </c>
      <c r="G39" s="397">
        <f>'Imp-Aus3'!H$41</f>
        <v>0</v>
      </c>
      <c r="H39" s="397">
        <f>'Imp-Aus3'!I$41</f>
        <v>0</v>
      </c>
      <c r="I39" s="397">
        <f>'Imp-Aus3'!J$41</f>
        <v>0</v>
      </c>
      <c r="J39" s="398">
        <f>'Imp-Aus3'!K$41</f>
        <v>0</v>
      </c>
      <c r="K39" s="399"/>
      <c r="L39" s="397">
        <f>'Imp-Aus3'!G$42/1000</f>
        <v>0</v>
      </c>
      <c r="M39" s="397">
        <f>'Imp-Aus3'!H$42/1000</f>
        <v>0</v>
      </c>
      <c r="N39" s="397">
        <f>'Imp-Aus3'!I$42/1000</f>
        <v>0</v>
      </c>
      <c r="O39" s="397">
        <f>'Imp-Aus3'!J$42/1000</f>
        <v>0</v>
      </c>
      <c r="P39" s="398">
        <f>'Imp-Aus3'!K$42/1000</f>
        <v>0</v>
      </c>
      <c r="Q39" s="399"/>
      <c r="R39" s="395">
        <f t="shared" si="5"/>
        <v>0</v>
      </c>
      <c r="S39" s="395">
        <f t="shared" si="3"/>
        <v>0</v>
      </c>
      <c r="T39" s="395">
        <f t="shared" si="3"/>
        <v>0</v>
      </c>
      <c r="U39" s="395">
        <f t="shared" si="3"/>
        <v>0</v>
      </c>
      <c r="V39" s="395">
        <f t="shared" si="3"/>
        <v>0</v>
      </c>
      <c r="W39" s="396">
        <f t="shared" si="3"/>
        <v>0</v>
      </c>
    </row>
    <row r="40" spans="2:23" s="390" customFormat="1" x14ac:dyDescent="0.2">
      <c r="B40" s="409" t="s">
        <v>555</v>
      </c>
      <c r="C40" s="416"/>
      <c r="D40" s="390" t="str">
        <f t="shared" si="7"/>
        <v>Imports</v>
      </c>
      <c r="E40" s="410" t="s">
        <v>580</v>
      </c>
      <c r="F40" s="401">
        <f>'Imp-Mex'!G$26</f>
        <v>0</v>
      </c>
      <c r="G40" s="401">
        <f>'Imp-Mex'!H$26</f>
        <v>0</v>
      </c>
      <c r="H40" s="401">
        <f>'Imp-Mex'!I$26</f>
        <v>0</v>
      </c>
      <c r="I40" s="401">
        <f>'Imp-Mex'!J$26</f>
        <v>0</v>
      </c>
      <c r="J40" s="402">
        <f>'Imp-Mex'!K$26</f>
        <v>0</v>
      </c>
      <c r="K40" s="403">
        <f>'Imp-Mex'!F$237</f>
        <v>0</v>
      </c>
      <c r="L40" s="401">
        <f>'Imp-Mex'!G$27/1000</f>
        <v>0</v>
      </c>
      <c r="M40" s="401">
        <f>'Imp-Mex'!H$27/1000</f>
        <v>0</v>
      </c>
      <c r="N40" s="401">
        <f>'Imp-Mex'!I$27/1000</f>
        <v>0</v>
      </c>
      <c r="O40" s="401">
        <f>'Imp-Mex'!J$27/1000</f>
        <v>0</v>
      </c>
      <c r="P40" s="402">
        <f>'Imp-Mex'!K$27/1000</f>
        <v>0</v>
      </c>
      <c r="Q40" s="414">
        <f>'Imp-Mex'!F$238/1000</f>
        <v>0</v>
      </c>
      <c r="R40" s="411">
        <f t="shared" si="5"/>
        <v>0</v>
      </c>
      <c r="S40" s="411">
        <f t="shared" si="3"/>
        <v>0</v>
      </c>
      <c r="T40" s="411">
        <f t="shared" si="3"/>
        <v>0</v>
      </c>
      <c r="U40" s="411">
        <f t="shared" si="3"/>
        <v>0</v>
      </c>
      <c r="V40" s="411">
        <f t="shared" si="3"/>
        <v>0</v>
      </c>
      <c r="W40" s="412">
        <f t="shared" si="3"/>
        <v>0</v>
      </c>
    </row>
    <row r="41" spans="2:23" x14ac:dyDescent="0.2">
      <c r="B41" s="333" t="s">
        <v>555</v>
      </c>
      <c r="C41" s="416"/>
      <c r="D41" s="327" t="str">
        <f t="shared" si="7"/>
        <v>Seamless Sales</v>
      </c>
      <c r="E41" s="391" t="s">
        <v>581</v>
      </c>
      <c r="F41" s="397">
        <f>'Imp-Mex'!G$31</f>
        <v>0</v>
      </c>
      <c r="G41" s="397">
        <f>'Imp-Mex'!H$31</f>
        <v>0</v>
      </c>
      <c r="H41" s="397">
        <f>'Imp-Mex'!I$31</f>
        <v>0</v>
      </c>
      <c r="I41" s="397">
        <f>'Imp-Mex'!J$31</f>
        <v>0</v>
      </c>
      <c r="J41" s="398">
        <f>'Imp-Mex'!K$31</f>
        <v>0</v>
      </c>
      <c r="K41" s="399"/>
      <c r="L41" s="397">
        <f>'Imp-Mex'!G$32/1000</f>
        <v>0</v>
      </c>
      <c r="M41" s="397">
        <f>'Imp-Mex'!H$32/1000</f>
        <v>0</v>
      </c>
      <c r="N41" s="397">
        <f>'Imp-Mex'!I$32/1000</f>
        <v>0</v>
      </c>
      <c r="O41" s="397">
        <f>'Imp-Mex'!J$32/1000</f>
        <v>0</v>
      </c>
      <c r="P41" s="398">
        <f>'Imp-Mex'!K$32/1000</f>
        <v>0</v>
      </c>
      <c r="Q41" s="417"/>
      <c r="R41" s="395">
        <f t="shared" si="5"/>
        <v>0</v>
      </c>
      <c r="S41" s="395">
        <f t="shared" si="5"/>
        <v>0</v>
      </c>
      <c r="T41" s="395">
        <f t="shared" si="5"/>
        <v>0</v>
      </c>
      <c r="U41" s="395">
        <f t="shared" si="5"/>
        <v>0</v>
      </c>
      <c r="V41" s="395">
        <f t="shared" si="5"/>
        <v>0</v>
      </c>
      <c r="W41" s="396">
        <f t="shared" si="5"/>
        <v>0</v>
      </c>
    </row>
    <row r="42" spans="2:23" x14ac:dyDescent="0.2">
      <c r="B42" s="333" t="s">
        <v>555</v>
      </c>
      <c r="C42" s="416"/>
      <c r="D42" s="327" t="str">
        <f t="shared" si="7"/>
        <v>Seamless Sales</v>
      </c>
      <c r="E42" s="391" t="s">
        <v>561</v>
      </c>
      <c r="F42" s="392">
        <f>'Imp-Mex'!G$34</f>
        <v>0</v>
      </c>
      <c r="G42" s="392">
        <f>'Imp-Mex'!H$34</f>
        <v>0</v>
      </c>
      <c r="H42" s="392">
        <f>'Imp-Mex'!I$34</f>
        <v>0</v>
      </c>
      <c r="I42" s="392">
        <f>'Imp-Mex'!J$34</f>
        <v>0</v>
      </c>
      <c r="J42" s="393">
        <f>'Imp-Mex'!K$34</f>
        <v>0</v>
      </c>
      <c r="K42" s="394"/>
      <c r="L42" s="392">
        <f>'Imp-Mex'!G$35/1000</f>
        <v>0</v>
      </c>
      <c r="M42" s="392">
        <f>'Imp-Mex'!H$35/1000</f>
        <v>0</v>
      </c>
      <c r="N42" s="392">
        <f>'Imp-Mex'!I$35/1000</f>
        <v>0</v>
      </c>
      <c r="O42" s="392">
        <f>'Imp-Mex'!J$35/1000</f>
        <v>0</v>
      </c>
      <c r="P42" s="393">
        <f>'Imp-Mex'!K$35/1000</f>
        <v>0</v>
      </c>
      <c r="Q42" s="418"/>
      <c r="R42" s="395">
        <f t="shared" si="5"/>
        <v>0</v>
      </c>
      <c r="S42" s="395">
        <f t="shared" si="5"/>
        <v>0</v>
      </c>
      <c r="T42" s="395">
        <f t="shared" si="5"/>
        <v>0</v>
      </c>
      <c r="U42" s="395">
        <f t="shared" si="5"/>
        <v>0</v>
      </c>
      <c r="V42" s="395">
        <f t="shared" si="5"/>
        <v>0</v>
      </c>
      <c r="W42" s="396">
        <f t="shared" si="5"/>
        <v>0</v>
      </c>
    </row>
    <row r="43" spans="2:23" x14ac:dyDescent="0.2">
      <c r="B43" s="333" t="s">
        <v>555</v>
      </c>
      <c r="C43" s="416"/>
      <c r="D43" s="327" t="str">
        <f t="shared" si="7"/>
        <v>ERW Sales</v>
      </c>
      <c r="E43" s="391" t="s">
        <v>581</v>
      </c>
      <c r="F43" s="415">
        <f>'Imp-Mex'!G$38</f>
        <v>0</v>
      </c>
      <c r="G43" s="415">
        <f>'Imp-Mex'!H$38</f>
        <v>0</v>
      </c>
      <c r="H43" s="397">
        <f>'Imp-Mex'!I$38</f>
        <v>0</v>
      </c>
      <c r="I43" s="397">
        <f>'Imp-Mex'!J$38</f>
        <v>0</v>
      </c>
      <c r="J43" s="398">
        <f>'Imp-Mex'!K$38</f>
        <v>0</v>
      </c>
      <c r="K43" s="399"/>
      <c r="L43" s="415">
        <f>'Imp-Mex'!G$39/1000</f>
        <v>0</v>
      </c>
      <c r="M43" s="415">
        <f>'Imp-Mex'!H$39/1000</f>
        <v>0</v>
      </c>
      <c r="N43" s="397">
        <f>'Imp-Mex'!I$39/1000</f>
        <v>0</v>
      </c>
      <c r="O43" s="397">
        <f>'Imp-Mex'!J$39/1000</f>
        <v>0</v>
      </c>
      <c r="P43" s="398">
        <f>'Imp-Mex'!K$39/1000</f>
        <v>0</v>
      </c>
      <c r="Q43" s="399"/>
      <c r="R43" s="395">
        <f t="shared" si="5"/>
        <v>0</v>
      </c>
      <c r="S43" s="395">
        <f t="shared" si="5"/>
        <v>0</v>
      </c>
      <c r="T43" s="395">
        <f t="shared" si="5"/>
        <v>0</v>
      </c>
      <c r="U43" s="395">
        <f t="shared" si="5"/>
        <v>0</v>
      </c>
      <c r="V43" s="395">
        <f t="shared" si="5"/>
        <v>0</v>
      </c>
      <c r="W43" s="396">
        <f t="shared" si="5"/>
        <v>0</v>
      </c>
    </row>
    <row r="44" spans="2:23" x14ac:dyDescent="0.2">
      <c r="B44" s="333" t="s">
        <v>555</v>
      </c>
      <c r="C44" s="416"/>
      <c r="D44" s="327" t="str">
        <f t="shared" si="7"/>
        <v>ERW Sales</v>
      </c>
      <c r="E44" s="391" t="s">
        <v>561</v>
      </c>
      <c r="F44" s="392">
        <f>'Imp-Mex'!G$41</f>
        <v>0</v>
      </c>
      <c r="G44" s="392">
        <f>'Imp-Mex'!H$41</f>
        <v>0</v>
      </c>
      <c r="H44" s="392">
        <f>'Imp-Mex'!I$41</f>
        <v>0</v>
      </c>
      <c r="I44" s="392">
        <f>'Imp-Mex'!J$41</f>
        <v>0</v>
      </c>
      <c r="J44" s="393">
        <f>'Imp-Mex'!K$41</f>
        <v>0</v>
      </c>
      <c r="K44" s="394"/>
      <c r="L44" s="392">
        <f>'Imp-Mex'!G$42/1000</f>
        <v>0</v>
      </c>
      <c r="M44" s="392">
        <f>'Imp-Mex'!H$42/1000</f>
        <v>0</v>
      </c>
      <c r="N44" s="392">
        <f>'Imp-Mex'!I$42/1000</f>
        <v>0</v>
      </c>
      <c r="O44" s="392">
        <f>'Imp-Mex'!J$42/1000</f>
        <v>0</v>
      </c>
      <c r="P44" s="393">
        <f>'Imp-Mex'!K$42/1000</f>
        <v>0</v>
      </c>
      <c r="Q44" s="394"/>
      <c r="R44" s="395">
        <f t="shared" si="5"/>
        <v>0</v>
      </c>
      <c r="S44" s="395">
        <f t="shared" si="5"/>
        <v>0</v>
      </c>
      <c r="T44" s="395">
        <f t="shared" si="5"/>
        <v>0</v>
      </c>
      <c r="U44" s="395">
        <f t="shared" si="5"/>
        <v>0</v>
      </c>
      <c r="V44" s="395">
        <f t="shared" si="5"/>
        <v>0</v>
      </c>
      <c r="W44" s="396">
        <f t="shared" si="5"/>
        <v>0</v>
      </c>
    </row>
    <row r="45" spans="2:23" s="390" customFormat="1" x14ac:dyDescent="0.2">
      <c r="B45" s="409" t="s">
        <v>556</v>
      </c>
      <c r="C45" s="416"/>
      <c r="D45" s="390" t="str">
        <f t="shared" si="7"/>
        <v>Imports</v>
      </c>
      <c r="E45" s="410" t="s">
        <v>580</v>
      </c>
      <c r="F45" s="405">
        <f>'Imp-US'!G$26</f>
        <v>0</v>
      </c>
      <c r="G45" s="405">
        <f>'Imp-US'!H$26</f>
        <v>0</v>
      </c>
      <c r="H45" s="405">
        <f>'Imp-US'!I$26</f>
        <v>0</v>
      </c>
      <c r="I45" s="405">
        <f>'Imp-US'!J$26</f>
        <v>0</v>
      </c>
      <c r="J45" s="406">
        <f>'Imp-US'!K$26</f>
        <v>0</v>
      </c>
      <c r="K45" s="407">
        <f>'Imp-US'!F$237</f>
        <v>0</v>
      </c>
      <c r="L45" s="405">
        <f>'Imp-US'!G$27/1000</f>
        <v>0</v>
      </c>
      <c r="M45" s="405">
        <f>'Imp-US'!H$27/1000</f>
        <v>0</v>
      </c>
      <c r="N45" s="405">
        <f>'Imp-US'!I$27/1000</f>
        <v>0</v>
      </c>
      <c r="O45" s="405">
        <f>'Imp-US'!J$27/1000</f>
        <v>0</v>
      </c>
      <c r="P45" s="406">
        <f>'Imp-US'!K$27/1000</f>
        <v>0</v>
      </c>
      <c r="Q45" s="407">
        <f>'Imp-US'!F$238/1000</f>
        <v>0</v>
      </c>
      <c r="R45" s="411">
        <f t="shared" si="5"/>
        <v>0</v>
      </c>
      <c r="S45" s="411">
        <f t="shared" si="5"/>
        <v>0</v>
      </c>
      <c r="T45" s="411">
        <f t="shared" si="5"/>
        <v>0</v>
      </c>
      <c r="U45" s="411">
        <f t="shared" si="5"/>
        <v>0</v>
      </c>
      <c r="V45" s="411">
        <f t="shared" si="5"/>
        <v>0</v>
      </c>
      <c r="W45" s="412">
        <f t="shared" si="5"/>
        <v>0</v>
      </c>
    </row>
    <row r="46" spans="2:23" x14ac:dyDescent="0.2">
      <c r="B46" s="333" t="s">
        <v>556</v>
      </c>
      <c r="C46" s="416"/>
      <c r="D46" s="327" t="str">
        <f t="shared" si="7"/>
        <v>Seamless Sales</v>
      </c>
      <c r="E46" s="391" t="s">
        <v>581</v>
      </c>
      <c r="F46" s="401">
        <f>'Imp-US'!G$31</f>
        <v>0</v>
      </c>
      <c r="G46" s="401">
        <f>'Imp-US'!H$31</f>
        <v>0</v>
      </c>
      <c r="H46" s="401">
        <f>'Imp-US'!I$31</f>
        <v>0</v>
      </c>
      <c r="I46" s="401">
        <f>'Imp-US'!J$31</f>
        <v>0</v>
      </c>
      <c r="J46" s="402">
        <f>'Imp-US'!K$31</f>
        <v>0</v>
      </c>
      <c r="K46" s="403"/>
      <c r="L46" s="401">
        <f>'Imp-US'!G$32/1000</f>
        <v>0</v>
      </c>
      <c r="M46" s="401">
        <f>'Imp-US'!H$32/1000</f>
        <v>0</v>
      </c>
      <c r="N46" s="401">
        <f>'Imp-US'!I$32/1000</f>
        <v>0</v>
      </c>
      <c r="O46" s="401">
        <f>'Imp-US'!J$32/1000</f>
        <v>0</v>
      </c>
      <c r="P46" s="402">
        <f>'Imp-US'!K$32/1000</f>
        <v>0</v>
      </c>
      <c r="Q46" s="403"/>
      <c r="R46" s="395">
        <f t="shared" si="5"/>
        <v>0</v>
      </c>
      <c r="S46" s="395">
        <f t="shared" si="5"/>
        <v>0</v>
      </c>
      <c r="T46" s="395">
        <f t="shared" si="5"/>
        <v>0</v>
      </c>
      <c r="U46" s="395">
        <f t="shared" si="5"/>
        <v>0</v>
      </c>
      <c r="V46" s="395">
        <f t="shared" si="5"/>
        <v>0</v>
      </c>
      <c r="W46" s="396">
        <f t="shared" si="5"/>
        <v>0</v>
      </c>
    </row>
    <row r="47" spans="2:23" x14ac:dyDescent="0.2">
      <c r="B47" s="333" t="s">
        <v>556</v>
      </c>
      <c r="C47" s="416"/>
      <c r="D47" s="327" t="str">
        <f t="shared" si="7"/>
        <v>Seamless Sales</v>
      </c>
      <c r="E47" s="391" t="s">
        <v>561</v>
      </c>
      <c r="F47" s="405">
        <f>'Imp-US'!G$34</f>
        <v>0</v>
      </c>
      <c r="G47" s="405">
        <f>'Imp-US'!H$34</f>
        <v>0</v>
      </c>
      <c r="H47" s="405">
        <f>'Imp-US'!I$34</f>
        <v>0</v>
      </c>
      <c r="I47" s="405">
        <f>'Imp-US'!J$34</f>
        <v>0</v>
      </c>
      <c r="J47" s="406">
        <f>'Imp-US'!K$34</f>
        <v>0</v>
      </c>
      <c r="K47" s="407"/>
      <c r="L47" s="405">
        <f>'Imp-US'!G$35/1000</f>
        <v>0</v>
      </c>
      <c r="M47" s="405">
        <f>'Imp-US'!H$35/1000</f>
        <v>0</v>
      </c>
      <c r="N47" s="405">
        <f>'Imp-US'!I$35/1000</f>
        <v>0</v>
      </c>
      <c r="O47" s="405">
        <f>'Imp-US'!J$35/1000</f>
        <v>0</v>
      </c>
      <c r="P47" s="406">
        <f>'Imp-US'!K$35/1000</f>
        <v>0</v>
      </c>
      <c r="Q47" s="407"/>
      <c r="R47" s="395">
        <f t="shared" si="5"/>
        <v>0</v>
      </c>
      <c r="S47" s="395">
        <f t="shared" si="5"/>
        <v>0</v>
      </c>
      <c r="T47" s="395">
        <f t="shared" si="5"/>
        <v>0</v>
      </c>
      <c r="U47" s="395">
        <f t="shared" si="5"/>
        <v>0</v>
      </c>
      <c r="V47" s="395">
        <f t="shared" si="5"/>
        <v>0</v>
      </c>
      <c r="W47" s="396">
        <f t="shared" si="5"/>
        <v>0</v>
      </c>
    </row>
    <row r="48" spans="2:23" x14ac:dyDescent="0.2">
      <c r="B48" s="333" t="s">
        <v>556</v>
      </c>
      <c r="C48" s="416"/>
      <c r="D48" s="327" t="str">
        <f t="shared" si="7"/>
        <v>ERW Sales</v>
      </c>
      <c r="E48" s="391" t="s">
        <v>581</v>
      </c>
      <c r="F48" s="392">
        <f>'Imp-US'!G$38</f>
        <v>0</v>
      </c>
      <c r="G48" s="392">
        <f>'Imp-US'!H$38</f>
        <v>0</v>
      </c>
      <c r="H48" s="392">
        <f>'Imp-US'!I$38</f>
        <v>0</v>
      </c>
      <c r="I48" s="392">
        <f>'Imp-US'!J$38</f>
        <v>0</v>
      </c>
      <c r="J48" s="393">
        <f>'Imp-US'!K$38</f>
        <v>0</v>
      </c>
      <c r="K48" s="394"/>
      <c r="L48" s="392">
        <f>'Imp-US'!G$39/1000</f>
        <v>0</v>
      </c>
      <c r="M48" s="392">
        <f>'Imp-US'!H$39/1000</f>
        <v>0</v>
      </c>
      <c r="N48" s="392">
        <f>'Imp-US'!I$39/1000</f>
        <v>0</v>
      </c>
      <c r="O48" s="392">
        <f>'Imp-US'!J$39/1000</f>
        <v>0</v>
      </c>
      <c r="P48" s="393">
        <f>'Imp-US'!K$39/1000</f>
        <v>0</v>
      </c>
      <c r="Q48" s="394"/>
      <c r="R48" s="395">
        <f t="shared" si="5"/>
        <v>0</v>
      </c>
      <c r="S48" s="395">
        <f t="shared" si="5"/>
        <v>0</v>
      </c>
      <c r="T48" s="395">
        <f t="shared" si="5"/>
        <v>0</v>
      </c>
      <c r="U48" s="395">
        <f t="shared" si="5"/>
        <v>0</v>
      </c>
      <c r="V48" s="395">
        <f t="shared" si="5"/>
        <v>0</v>
      </c>
      <c r="W48" s="396">
        <f t="shared" si="5"/>
        <v>0</v>
      </c>
    </row>
    <row r="49" spans="2:27" x14ac:dyDescent="0.2">
      <c r="B49" s="333" t="s">
        <v>556</v>
      </c>
      <c r="C49" s="416"/>
      <c r="D49" s="327" t="str">
        <f t="shared" si="7"/>
        <v>ERW Sales</v>
      </c>
      <c r="E49" s="391" t="s">
        <v>561</v>
      </c>
      <c r="F49" s="397">
        <f>'Imp-US'!G$41</f>
        <v>0</v>
      </c>
      <c r="G49" s="397">
        <f>'Imp-US'!H$41</f>
        <v>0</v>
      </c>
      <c r="H49" s="397">
        <f>'Imp-US'!I$41</f>
        <v>0</v>
      </c>
      <c r="I49" s="397">
        <f>'Imp-US'!J$41</f>
        <v>0</v>
      </c>
      <c r="J49" s="398">
        <f>'Imp-US'!K$41</f>
        <v>0</v>
      </c>
      <c r="K49" s="399"/>
      <c r="L49" s="397">
        <f>'Imp-US'!G$42/1000</f>
        <v>0</v>
      </c>
      <c r="M49" s="397">
        <f>'Imp-US'!H$42/1000</f>
        <v>0</v>
      </c>
      <c r="N49" s="397">
        <f>'Imp-US'!I$42/1000</f>
        <v>0</v>
      </c>
      <c r="O49" s="397">
        <f>'Imp-US'!J$42/1000</f>
        <v>0</v>
      </c>
      <c r="P49" s="398">
        <f>'Imp-US'!K$42/1000</f>
        <v>0</v>
      </c>
      <c r="Q49" s="399"/>
      <c r="R49" s="395">
        <f t="shared" si="5"/>
        <v>0</v>
      </c>
      <c r="S49" s="395">
        <f t="shared" si="5"/>
        <v>0</v>
      </c>
      <c r="T49" s="395">
        <f t="shared" si="5"/>
        <v>0</v>
      </c>
      <c r="U49" s="395">
        <f t="shared" si="5"/>
        <v>0</v>
      </c>
      <c r="V49" s="395">
        <f t="shared" si="5"/>
        <v>0</v>
      </c>
      <c r="W49" s="396">
        <f t="shared" si="5"/>
        <v>0</v>
      </c>
    </row>
    <row r="50" spans="2:27" s="390" customFormat="1" x14ac:dyDescent="0.2">
      <c r="B50" s="409" t="s">
        <v>557</v>
      </c>
      <c r="C50" s="416"/>
      <c r="D50" s="390" t="str">
        <f>D45</f>
        <v>Imports</v>
      </c>
      <c r="E50" s="410" t="s">
        <v>580</v>
      </c>
      <c r="F50" s="401">
        <f>'Imp-Other -Autre'!G$26</f>
        <v>0</v>
      </c>
      <c r="G50" s="401">
        <f>'Imp-Other -Autre'!H$26</f>
        <v>0</v>
      </c>
      <c r="H50" s="401">
        <f>'Imp-Other -Autre'!I$26</f>
        <v>0</v>
      </c>
      <c r="I50" s="401">
        <f>'Imp-Other -Autre'!J$26</f>
        <v>0</v>
      </c>
      <c r="J50" s="402">
        <f>'Imp-Other -Autre'!K$26</f>
        <v>0</v>
      </c>
      <c r="K50" s="403">
        <f>'Imp-Other -Autre'!F$237</f>
        <v>0</v>
      </c>
      <c r="L50" s="401">
        <f>'Imp-Other -Autre'!G$27/1000</f>
        <v>0</v>
      </c>
      <c r="M50" s="401">
        <f>'Imp-Other -Autre'!H$27/1000</f>
        <v>0</v>
      </c>
      <c r="N50" s="401">
        <f>'Imp-Other -Autre'!I$27/1000</f>
        <v>0</v>
      </c>
      <c r="O50" s="401">
        <f>'Imp-Other -Autre'!J$27/1000</f>
        <v>0</v>
      </c>
      <c r="P50" s="402">
        <f>'Imp-Other -Autre'!K$27/1000</f>
        <v>0</v>
      </c>
      <c r="Q50" s="414">
        <f>'Imp-Other -Autre'!F$238/1000</f>
        <v>0</v>
      </c>
      <c r="R50" s="419">
        <f t="shared" si="5"/>
        <v>0</v>
      </c>
      <c r="S50" s="419">
        <f t="shared" si="5"/>
        <v>0</v>
      </c>
      <c r="T50" s="419">
        <f t="shared" si="5"/>
        <v>0</v>
      </c>
      <c r="U50" s="419">
        <f t="shared" si="5"/>
        <v>0</v>
      </c>
      <c r="V50" s="419">
        <f t="shared" si="5"/>
        <v>0</v>
      </c>
      <c r="W50" s="420">
        <f t="shared" si="5"/>
        <v>0</v>
      </c>
    </row>
    <row r="51" spans="2:27" x14ac:dyDescent="0.2">
      <c r="B51" s="333" t="str">
        <f>B50</f>
        <v>Other Countries</v>
      </c>
      <c r="C51" s="421"/>
      <c r="D51" s="327" t="str">
        <f>D46</f>
        <v>Seamless Sales</v>
      </c>
      <c r="E51" s="391" t="s">
        <v>581</v>
      </c>
      <c r="F51" s="415">
        <f>'Imp-Other -Autre'!G$31</f>
        <v>0</v>
      </c>
      <c r="G51" s="415">
        <f>'Imp-Other -Autre'!H$31</f>
        <v>0</v>
      </c>
      <c r="H51" s="397">
        <f>'Imp-Other -Autre'!I$31</f>
        <v>0</v>
      </c>
      <c r="I51" s="397">
        <f>'Imp-Other -Autre'!J$31</f>
        <v>0</v>
      </c>
      <c r="J51" s="398">
        <f>'Imp-Other -Autre'!K$31</f>
        <v>0</v>
      </c>
      <c r="K51" s="399"/>
      <c r="L51" s="415">
        <f>'Imp-Other -Autre'!G$32/1000</f>
        <v>0</v>
      </c>
      <c r="M51" s="415">
        <f>'Imp-Other -Autre'!H$32/1000</f>
        <v>0</v>
      </c>
      <c r="N51" s="397">
        <f>'Imp-Other -Autre'!I$32/1000</f>
        <v>0</v>
      </c>
      <c r="O51" s="397">
        <f>'Imp-Other -Autre'!J$32/1000</f>
        <v>0</v>
      </c>
      <c r="P51" s="398">
        <f>'Imp-Other -Autre'!K$32/1000</f>
        <v>0</v>
      </c>
      <c r="Q51" s="399"/>
      <c r="R51" s="422">
        <f t="shared" si="5"/>
        <v>0</v>
      </c>
      <c r="S51" s="422">
        <f t="shared" si="5"/>
        <v>0</v>
      </c>
      <c r="T51" s="422">
        <f t="shared" si="5"/>
        <v>0</v>
      </c>
      <c r="U51" s="422">
        <f t="shared" si="5"/>
        <v>0</v>
      </c>
      <c r="V51" s="422">
        <f t="shared" si="5"/>
        <v>0</v>
      </c>
      <c r="W51" s="423">
        <f t="shared" si="5"/>
        <v>0</v>
      </c>
    </row>
    <row r="52" spans="2:27" x14ac:dyDescent="0.2">
      <c r="B52" s="333" t="str">
        <f>B51</f>
        <v>Other Countries</v>
      </c>
      <c r="C52" s="421"/>
      <c r="D52" s="327" t="str">
        <f t="shared" ref="D52:D59" si="9">D47</f>
        <v>Seamless Sales</v>
      </c>
      <c r="E52" s="391" t="s">
        <v>561</v>
      </c>
      <c r="F52" s="392">
        <f>'Imp-Other -Autre'!G$34</f>
        <v>0</v>
      </c>
      <c r="G52" s="392">
        <f>'Imp-Other -Autre'!H$34</f>
        <v>0</v>
      </c>
      <c r="H52" s="392">
        <f>'Imp-Other -Autre'!I$34</f>
        <v>0</v>
      </c>
      <c r="I52" s="392">
        <f>'Imp-Other -Autre'!J$34</f>
        <v>0</v>
      </c>
      <c r="J52" s="393">
        <f>'Imp-Other -Autre'!K$34</f>
        <v>0</v>
      </c>
      <c r="K52" s="394"/>
      <c r="L52" s="392">
        <f>'Imp-Other -Autre'!G$35/1000</f>
        <v>0</v>
      </c>
      <c r="M52" s="392">
        <f>'Imp-Other -Autre'!H$35/1000</f>
        <v>0</v>
      </c>
      <c r="N52" s="392">
        <f>'Imp-Other -Autre'!I$35/1000</f>
        <v>0</v>
      </c>
      <c r="O52" s="392">
        <f>'Imp-Other -Autre'!J$35/1000</f>
        <v>0</v>
      </c>
      <c r="P52" s="393">
        <f>'Imp-Other -Autre'!K$35/1000</f>
        <v>0</v>
      </c>
      <c r="Q52" s="394"/>
      <c r="R52" s="422">
        <f t="shared" si="5"/>
        <v>0</v>
      </c>
      <c r="S52" s="422">
        <f t="shared" si="5"/>
        <v>0</v>
      </c>
      <c r="T52" s="422">
        <f t="shared" si="5"/>
        <v>0</v>
      </c>
      <c r="U52" s="422">
        <f t="shared" si="5"/>
        <v>0</v>
      </c>
      <c r="V52" s="422">
        <f t="shared" si="5"/>
        <v>0</v>
      </c>
      <c r="W52" s="423">
        <f t="shared" si="5"/>
        <v>0</v>
      </c>
    </row>
    <row r="53" spans="2:27" x14ac:dyDescent="0.2">
      <c r="B53" s="333" t="str">
        <f t="shared" ref="B53:B54" si="10">B52</f>
        <v>Other Countries</v>
      </c>
      <c r="C53" s="421"/>
      <c r="D53" s="327" t="str">
        <f t="shared" si="9"/>
        <v>ERW Sales</v>
      </c>
      <c r="E53" s="391" t="s">
        <v>581</v>
      </c>
      <c r="F53" s="397">
        <f>'Imp-Other -Autre'!G$38</f>
        <v>0</v>
      </c>
      <c r="G53" s="397">
        <f>'Imp-Other -Autre'!H$38</f>
        <v>0</v>
      </c>
      <c r="H53" s="397">
        <f>'Imp-Other -Autre'!I$38</f>
        <v>0</v>
      </c>
      <c r="I53" s="397">
        <f>'Imp-Other -Autre'!J$38</f>
        <v>0</v>
      </c>
      <c r="J53" s="398">
        <f>'Imp-Other -Autre'!K$38</f>
        <v>0</v>
      </c>
      <c r="K53" s="399"/>
      <c r="L53" s="397">
        <f>'Imp-Other -Autre'!G$39/1000</f>
        <v>0</v>
      </c>
      <c r="M53" s="397">
        <f>'Imp-Other -Autre'!H$39/1000</f>
        <v>0</v>
      </c>
      <c r="N53" s="397">
        <f>'Imp-Other -Autre'!I$39/1000</f>
        <v>0</v>
      </c>
      <c r="O53" s="397">
        <f>'Imp-Other -Autre'!J$39/1000</f>
        <v>0</v>
      </c>
      <c r="P53" s="398">
        <f>'Imp-Other -Autre'!K$39/1000</f>
        <v>0</v>
      </c>
      <c r="Q53" s="399"/>
      <c r="R53" s="422">
        <f t="shared" si="5"/>
        <v>0</v>
      </c>
      <c r="S53" s="422">
        <f t="shared" si="5"/>
        <v>0</v>
      </c>
      <c r="T53" s="422">
        <f t="shared" si="5"/>
        <v>0</v>
      </c>
      <c r="U53" s="422">
        <f t="shared" si="5"/>
        <v>0</v>
      </c>
      <c r="V53" s="422">
        <f t="shared" si="5"/>
        <v>0</v>
      </c>
      <c r="W53" s="423">
        <f t="shared" si="5"/>
        <v>0</v>
      </c>
    </row>
    <row r="54" spans="2:27" x14ac:dyDescent="0.2">
      <c r="B54" s="333" t="str">
        <f t="shared" si="10"/>
        <v>Other Countries</v>
      </c>
      <c r="C54" s="421"/>
      <c r="D54" s="327" t="str">
        <f t="shared" si="9"/>
        <v>ERW Sales</v>
      </c>
      <c r="E54" s="391" t="s">
        <v>561</v>
      </c>
      <c r="F54" s="401">
        <f>'Imp-Other -Autre'!G$41</f>
        <v>0</v>
      </c>
      <c r="G54" s="401">
        <f>'Imp-Other -Autre'!H$41</f>
        <v>0</v>
      </c>
      <c r="H54" s="401">
        <f>'Imp-Other -Autre'!I$41</f>
        <v>0</v>
      </c>
      <c r="I54" s="401">
        <f>'Imp-Other -Autre'!J$41</f>
        <v>0</v>
      </c>
      <c r="J54" s="402">
        <f>'Imp-Other -Autre'!K$41</f>
        <v>0</v>
      </c>
      <c r="K54" s="403"/>
      <c r="L54" s="401">
        <f>'Imp-Other -Autre'!G$42/1000</f>
        <v>0</v>
      </c>
      <c r="M54" s="401">
        <f>'Imp-Other -Autre'!H$42/1000</f>
        <v>0</v>
      </c>
      <c r="N54" s="401">
        <f>'Imp-Other -Autre'!I$42/1000</f>
        <v>0</v>
      </c>
      <c r="O54" s="401">
        <f>'Imp-Other -Autre'!J$42/1000</f>
        <v>0</v>
      </c>
      <c r="P54" s="402">
        <f>'Imp-Other -Autre'!K$42/1000</f>
        <v>0</v>
      </c>
      <c r="Q54" s="403"/>
      <c r="R54" s="422">
        <f t="shared" si="5"/>
        <v>0</v>
      </c>
      <c r="S54" s="422">
        <f t="shared" si="5"/>
        <v>0</v>
      </c>
      <c r="T54" s="422">
        <f t="shared" si="5"/>
        <v>0</v>
      </c>
      <c r="U54" s="422">
        <f t="shared" si="5"/>
        <v>0</v>
      </c>
      <c r="V54" s="422">
        <f t="shared" si="5"/>
        <v>0</v>
      </c>
      <c r="W54" s="423">
        <f t="shared" si="5"/>
        <v>0</v>
      </c>
    </row>
    <row r="55" spans="2:27" s="390" customFormat="1" x14ac:dyDescent="0.2">
      <c r="B55" s="409" t="s">
        <v>582</v>
      </c>
      <c r="C55" s="416"/>
      <c r="D55" s="390" t="str">
        <f t="shared" si="9"/>
        <v>Imports</v>
      </c>
      <c r="E55" s="410" t="s">
        <v>580</v>
      </c>
      <c r="F55" s="405">
        <f>'Other Measures|Autre Mesures'!G$26</f>
        <v>0</v>
      </c>
      <c r="G55" s="405">
        <f>'Other Measures|Autre Mesures'!H$26</f>
        <v>0</v>
      </c>
      <c r="H55" s="405">
        <f>'Other Measures|Autre Mesures'!I$26</f>
        <v>0</v>
      </c>
      <c r="I55" s="405">
        <f>'Other Measures|Autre Mesures'!J$26</f>
        <v>0</v>
      </c>
      <c r="J55" s="406">
        <f>'Other Measures|Autre Mesures'!K$26</f>
        <v>0</v>
      </c>
      <c r="K55" s="407">
        <f>'Other Measures|Autre Mesures'!F$237</f>
        <v>0</v>
      </c>
      <c r="L55" s="405">
        <f>'Other Measures|Autre Mesures'!G$27/1000</f>
        <v>0</v>
      </c>
      <c r="M55" s="405">
        <f>'Other Measures|Autre Mesures'!H$27/1000</f>
        <v>0</v>
      </c>
      <c r="N55" s="405">
        <f>'Other Measures|Autre Mesures'!I$27/1000</f>
        <v>0</v>
      </c>
      <c r="O55" s="405">
        <f>'Other Measures|Autre Mesures'!J$27/1000</f>
        <v>0</v>
      </c>
      <c r="P55" s="406">
        <f>'Other Measures|Autre Mesures'!K$27/1000</f>
        <v>0</v>
      </c>
      <c r="Q55" s="407">
        <f>'Other Measures|Autre Mesures'!F$238/1000</f>
        <v>0</v>
      </c>
      <c r="R55" s="419">
        <f t="shared" si="5"/>
        <v>0</v>
      </c>
      <c r="S55" s="419">
        <f t="shared" si="5"/>
        <v>0</v>
      </c>
      <c r="T55" s="419">
        <f t="shared" si="5"/>
        <v>0</v>
      </c>
      <c r="U55" s="419">
        <f t="shared" si="5"/>
        <v>0</v>
      </c>
      <c r="V55" s="419">
        <f t="shared" si="5"/>
        <v>0</v>
      </c>
      <c r="W55" s="420">
        <f t="shared" si="5"/>
        <v>0</v>
      </c>
    </row>
    <row r="56" spans="2:27" x14ac:dyDescent="0.2">
      <c r="B56" s="333" t="str">
        <f>B55</f>
        <v>Other Countries with measures</v>
      </c>
      <c r="C56" s="421"/>
      <c r="D56" s="327" t="str">
        <f t="shared" si="9"/>
        <v>Seamless Sales</v>
      </c>
      <c r="E56" s="391" t="s">
        <v>581</v>
      </c>
      <c r="F56" s="392">
        <f>'Other Measures|Autre Mesures'!G$31</f>
        <v>0</v>
      </c>
      <c r="G56" s="392">
        <f>'Other Measures|Autre Mesures'!H$31</f>
        <v>0</v>
      </c>
      <c r="H56" s="392">
        <f>'Other Measures|Autre Mesures'!I$31</f>
        <v>0</v>
      </c>
      <c r="I56" s="392">
        <f>'Other Measures|Autre Mesures'!J$31</f>
        <v>0</v>
      </c>
      <c r="J56" s="393">
        <f>'Other Measures|Autre Mesures'!K$31</f>
        <v>0</v>
      </c>
      <c r="K56" s="394"/>
      <c r="L56" s="392">
        <f>'Other Measures|Autre Mesures'!G$32/1000</f>
        <v>0</v>
      </c>
      <c r="M56" s="392">
        <f>'Other Measures|Autre Mesures'!H$32/1000</f>
        <v>0</v>
      </c>
      <c r="N56" s="392">
        <f>'Other Measures|Autre Mesures'!I$32/1000</f>
        <v>0</v>
      </c>
      <c r="O56" s="392">
        <f>'Other Measures|Autre Mesures'!J$32/1000</f>
        <v>0</v>
      </c>
      <c r="P56" s="393">
        <f>'Other Measures|Autre Mesures'!K$32/1000</f>
        <v>0</v>
      </c>
      <c r="Q56" s="394"/>
      <c r="R56" s="422">
        <f t="shared" si="5"/>
        <v>0</v>
      </c>
      <c r="S56" s="422">
        <f t="shared" si="5"/>
        <v>0</v>
      </c>
      <c r="T56" s="422">
        <f t="shared" si="5"/>
        <v>0</v>
      </c>
      <c r="U56" s="422">
        <f t="shared" si="5"/>
        <v>0</v>
      </c>
      <c r="V56" s="422">
        <f t="shared" si="5"/>
        <v>0</v>
      </c>
      <c r="W56" s="423">
        <f t="shared" si="5"/>
        <v>0</v>
      </c>
    </row>
    <row r="57" spans="2:27" x14ac:dyDescent="0.2">
      <c r="B57" s="333" t="str">
        <f t="shared" ref="B57:B59" si="11">B56</f>
        <v>Other Countries with measures</v>
      </c>
      <c r="C57" s="421"/>
      <c r="D57" s="327" t="str">
        <f t="shared" si="9"/>
        <v>Seamless Sales</v>
      </c>
      <c r="E57" s="391" t="s">
        <v>561</v>
      </c>
      <c r="F57" s="397">
        <f>'Other Measures|Autre Mesures'!G$34</f>
        <v>0</v>
      </c>
      <c r="G57" s="397">
        <f>'Other Measures|Autre Mesures'!H$34</f>
        <v>0</v>
      </c>
      <c r="H57" s="397">
        <f>'Other Measures|Autre Mesures'!I$34</f>
        <v>0</v>
      </c>
      <c r="I57" s="397">
        <f>'Other Measures|Autre Mesures'!J$34</f>
        <v>0</v>
      </c>
      <c r="J57" s="398">
        <f>'Other Measures|Autre Mesures'!K$34</f>
        <v>0</v>
      </c>
      <c r="K57" s="399"/>
      <c r="L57" s="397">
        <f>'Other Measures|Autre Mesures'!G$35/1000</f>
        <v>0</v>
      </c>
      <c r="M57" s="397">
        <f>'Other Measures|Autre Mesures'!H$35/1000</f>
        <v>0</v>
      </c>
      <c r="N57" s="397">
        <f>'Other Measures|Autre Mesures'!I$35/1000</f>
        <v>0</v>
      </c>
      <c r="O57" s="397">
        <f>'Other Measures|Autre Mesures'!J$35/1000</f>
        <v>0</v>
      </c>
      <c r="P57" s="398">
        <f>'Other Measures|Autre Mesures'!K$35/1000</f>
        <v>0</v>
      </c>
      <c r="Q57" s="399"/>
      <c r="R57" s="422">
        <f t="shared" si="5"/>
        <v>0</v>
      </c>
      <c r="S57" s="422">
        <f t="shared" si="5"/>
        <v>0</v>
      </c>
      <c r="T57" s="422">
        <f t="shared" si="5"/>
        <v>0</v>
      </c>
      <c r="U57" s="422">
        <f t="shared" si="5"/>
        <v>0</v>
      </c>
      <c r="V57" s="422">
        <f t="shared" si="5"/>
        <v>0</v>
      </c>
      <c r="W57" s="423">
        <f t="shared" si="5"/>
        <v>0</v>
      </c>
    </row>
    <row r="58" spans="2:27" x14ac:dyDescent="0.2">
      <c r="B58" s="333" t="str">
        <f t="shared" si="11"/>
        <v>Other Countries with measures</v>
      </c>
      <c r="C58" s="421"/>
      <c r="D58" s="327" t="str">
        <f t="shared" si="9"/>
        <v>ERW Sales</v>
      </c>
      <c r="E58" s="391" t="s">
        <v>581</v>
      </c>
      <c r="F58" s="401">
        <f>'Other Measures|Autre Mesures'!G$38</f>
        <v>0</v>
      </c>
      <c r="G58" s="401">
        <f>'Other Measures|Autre Mesures'!H$38</f>
        <v>0</v>
      </c>
      <c r="H58" s="401">
        <f>'Other Measures|Autre Mesures'!I$38</f>
        <v>0</v>
      </c>
      <c r="I58" s="401">
        <f>'Other Measures|Autre Mesures'!J$38</f>
        <v>0</v>
      </c>
      <c r="J58" s="402">
        <f>'Other Measures|Autre Mesures'!K$38</f>
        <v>0</v>
      </c>
      <c r="K58" s="403"/>
      <c r="L58" s="401">
        <f>'Other Measures|Autre Mesures'!G$39/1000</f>
        <v>0</v>
      </c>
      <c r="M58" s="401">
        <f>'Other Measures|Autre Mesures'!H$39/1000</f>
        <v>0</v>
      </c>
      <c r="N58" s="401">
        <f>'Other Measures|Autre Mesures'!I$39/1000</f>
        <v>0</v>
      </c>
      <c r="O58" s="401">
        <f>'Other Measures|Autre Mesures'!J$39/1000</f>
        <v>0</v>
      </c>
      <c r="P58" s="402">
        <f>'Other Measures|Autre Mesures'!K$39/1000</f>
        <v>0</v>
      </c>
      <c r="Q58" s="414"/>
      <c r="R58" s="422">
        <f t="shared" si="5"/>
        <v>0</v>
      </c>
      <c r="S58" s="422">
        <f t="shared" si="5"/>
        <v>0</v>
      </c>
      <c r="T58" s="422">
        <f t="shared" si="5"/>
        <v>0</v>
      </c>
      <c r="U58" s="422">
        <f t="shared" si="5"/>
        <v>0</v>
      </c>
      <c r="V58" s="422">
        <f t="shared" si="5"/>
        <v>0</v>
      </c>
      <c r="W58" s="423">
        <f t="shared" si="5"/>
        <v>0</v>
      </c>
    </row>
    <row r="59" spans="2:27" ht="12.75" thickBot="1" x14ac:dyDescent="0.25">
      <c r="B59" s="333" t="str">
        <f t="shared" si="11"/>
        <v>Other Countries with measures</v>
      </c>
      <c r="C59" s="421"/>
      <c r="D59" s="327" t="str">
        <f t="shared" si="9"/>
        <v>ERW Sales</v>
      </c>
      <c r="E59" s="391" t="s">
        <v>561</v>
      </c>
      <c r="F59" s="424">
        <f>'Other Measures|Autre Mesures'!G$41</f>
        <v>0</v>
      </c>
      <c r="G59" s="424">
        <f>'Other Measures|Autre Mesures'!H$41</f>
        <v>0</v>
      </c>
      <c r="H59" s="424">
        <f>'Other Measures|Autre Mesures'!I$41</f>
        <v>0</v>
      </c>
      <c r="I59" s="424">
        <f>'Other Measures|Autre Mesures'!J$41</f>
        <v>0</v>
      </c>
      <c r="J59" s="425">
        <f>'Other Measures|Autre Mesures'!K$41</f>
        <v>0</v>
      </c>
      <c r="K59" s="426"/>
      <c r="L59" s="424">
        <f>'Other Measures|Autre Mesures'!G$42/1000</f>
        <v>0</v>
      </c>
      <c r="M59" s="424">
        <f>'Other Measures|Autre Mesures'!H$42/1000</f>
        <v>0</v>
      </c>
      <c r="N59" s="424">
        <f>'Other Measures|Autre Mesures'!I$42/1000</f>
        <v>0</v>
      </c>
      <c r="O59" s="424">
        <f>'Other Measures|Autre Mesures'!J$42/1000</f>
        <v>0</v>
      </c>
      <c r="P59" s="425">
        <f>'Other Measures|Autre Mesures'!K$42/1000</f>
        <v>0</v>
      </c>
      <c r="Q59" s="427"/>
      <c r="R59" s="428">
        <f t="shared" si="5"/>
        <v>0</v>
      </c>
      <c r="S59" s="428">
        <f t="shared" si="5"/>
        <v>0</v>
      </c>
      <c r="T59" s="428">
        <f t="shared" si="5"/>
        <v>0</v>
      </c>
      <c r="U59" s="428">
        <f t="shared" si="5"/>
        <v>0</v>
      </c>
      <c r="V59" s="428">
        <f t="shared" si="5"/>
        <v>0</v>
      </c>
      <c r="W59" s="429">
        <f t="shared" si="5"/>
        <v>0</v>
      </c>
    </row>
    <row r="60" spans="2:27" x14ac:dyDescent="0.2">
      <c r="B60" s="341" t="s">
        <v>564</v>
      </c>
      <c r="C60" s="383"/>
      <c r="D60" s="346"/>
      <c r="E60" s="331"/>
      <c r="F60" s="430"/>
      <c r="G60" s="430"/>
      <c r="H60" s="430"/>
      <c r="I60" s="430"/>
      <c r="J60" s="430"/>
      <c r="K60" s="430"/>
      <c r="L60" s="430"/>
      <c r="M60" s="430"/>
      <c r="N60" s="430"/>
      <c r="O60" s="430"/>
      <c r="P60" s="430"/>
      <c r="Q60" s="430"/>
    </row>
    <row r="61" spans="2:27" ht="12.75" thickBot="1" x14ac:dyDescent="0.25">
      <c r="B61" s="431">
        <f>'Imp-Other -Autre'!G22</f>
        <v>0</v>
      </c>
      <c r="C61" s="432"/>
      <c r="D61" s="433"/>
      <c r="E61" s="337"/>
    </row>
    <row r="62" spans="2:27" ht="12.75" thickBot="1" x14ac:dyDescent="0.25">
      <c r="B62" s="345"/>
      <c r="C62" s="363"/>
      <c r="D62" s="364"/>
    </row>
    <row r="63" spans="2:27" ht="15" customHeight="1" x14ac:dyDescent="0.2">
      <c r="B63" s="813" t="s">
        <v>583</v>
      </c>
      <c r="C63" s="814"/>
      <c r="D63" s="814"/>
      <c r="E63" s="346"/>
      <c r="F63" s="822" t="s">
        <v>584</v>
      </c>
      <c r="G63" s="823"/>
      <c r="H63" s="823"/>
      <c r="I63" s="823"/>
      <c r="J63" s="823"/>
      <c r="K63" s="823"/>
      <c r="L63" s="823"/>
      <c r="M63" s="823"/>
      <c r="N63" s="823" t="s">
        <v>585</v>
      </c>
      <c r="O63" s="823"/>
      <c r="P63" s="823"/>
      <c r="Q63" s="823"/>
      <c r="R63" s="823"/>
      <c r="S63" s="823"/>
      <c r="T63" s="823"/>
      <c r="U63" s="824"/>
      <c r="V63" s="390"/>
      <c r="Z63" s="390"/>
      <c r="AA63" s="390"/>
    </row>
    <row r="64" spans="2:27" ht="47.25" customHeight="1" x14ac:dyDescent="0.2">
      <c r="B64" s="333"/>
      <c r="F64" s="434" t="s">
        <v>586</v>
      </c>
      <c r="G64" s="340" t="s">
        <v>587</v>
      </c>
      <c r="H64" s="340" t="s">
        <v>588</v>
      </c>
      <c r="I64" s="340" t="s">
        <v>589</v>
      </c>
      <c r="J64" s="340" t="s">
        <v>590</v>
      </c>
      <c r="K64" s="340" t="s">
        <v>591</v>
      </c>
      <c r="L64" s="340" t="s">
        <v>592</v>
      </c>
      <c r="M64" s="340" t="s">
        <v>593</v>
      </c>
      <c r="N64" s="340" t="str">
        <f>F64</f>
        <v>Q2 - 2024</v>
      </c>
      <c r="O64" s="340" t="str">
        <f t="shared" ref="O64:U64" si="12">G64</f>
        <v>Q3 - 2024</v>
      </c>
      <c r="P64" s="340" t="str">
        <f t="shared" si="12"/>
        <v>Q4 - 2024</v>
      </c>
      <c r="Q64" s="340" t="str">
        <f t="shared" si="12"/>
        <v>Q1 - 2025</v>
      </c>
      <c r="R64" s="340" t="str">
        <f t="shared" si="12"/>
        <v>Q2 - 2025</v>
      </c>
      <c r="S64" s="340" t="str">
        <f t="shared" si="12"/>
        <v>Q3 - 2025</v>
      </c>
      <c r="T64" s="340" t="str">
        <f t="shared" si="12"/>
        <v>Q4 - 2025</v>
      </c>
      <c r="U64" s="435" t="str">
        <f t="shared" si="12"/>
        <v>Q1 - 2026</v>
      </c>
    </row>
    <row r="65" spans="2:22" x14ac:dyDescent="0.2">
      <c r="B65" s="333"/>
      <c r="F65" s="436" t="s">
        <v>577</v>
      </c>
      <c r="G65" s="437" t="s">
        <v>577</v>
      </c>
      <c r="H65" s="437" t="s">
        <v>577</v>
      </c>
      <c r="I65" s="437" t="s">
        <v>577</v>
      </c>
      <c r="J65" s="437" t="s">
        <v>577</v>
      </c>
      <c r="K65" s="437" t="s">
        <v>577</v>
      </c>
      <c r="L65" s="437" t="s">
        <v>577</v>
      </c>
      <c r="M65" s="437" t="s">
        <v>577</v>
      </c>
      <c r="N65" s="437" t="s">
        <v>577</v>
      </c>
      <c r="O65" s="437" t="s">
        <v>577</v>
      </c>
      <c r="P65" s="437" t="s">
        <v>577</v>
      </c>
      <c r="Q65" s="437" t="s">
        <v>577</v>
      </c>
      <c r="R65" s="437" t="s">
        <v>577</v>
      </c>
      <c r="S65" s="437" t="s">
        <v>577</v>
      </c>
      <c r="T65" s="437" t="s">
        <v>577</v>
      </c>
      <c r="U65" s="438" t="s">
        <v>577</v>
      </c>
    </row>
    <row r="66" spans="2:22" x14ac:dyDescent="0.2">
      <c r="B66" s="333" t="s">
        <v>552</v>
      </c>
      <c r="C66" s="327">
        <f>C25</f>
        <v>0</v>
      </c>
      <c r="D66" s="327" t="s">
        <v>594</v>
      </c>
      <c r="F66" s="439">
        <f>'Imp-Aus'!E$248</f>
        <v>0</v>
      </c>
      <c r="G66" s="440">
        <f>'Imp-Aus'!F$248</f>
        <v>0</v>
      </c>
      <c r="H66" s="440">
        <f>'Imp-Aus'!G$248</f>
        <v>0</v>
      </c>
      <c r="I66" s="440">
        <f>'Imp-Aus'!H$248</f>
        <v>0</v>
      </c>
      <c r="J66" s="440">
        <f>'Imp-Aus'!I$248</f>
        <v>0</v>
      </c>
      <c r="K66" s="440">
        <f>'Imp-Aus'!J$248</f>
        <v>0</v>
      </c>
      <c r="L66" s="440">
        <f>'Imp-Aus'!K$248</f>
        <v>0</v>
      </c>
      <c r="M66" s="440">
        <f>'Imp-Aus'!L$248</f>
        <v>0</v>
      </c>
      <c r="N66" s="440">
        <f>'Imp-Aus'!E$249</f>
        <v>0</v>
      </c>
      <c r="O66" s="440">
        <f>'Imp-Aus'!F$249</f>
        <v>0</v>
      </c>
      <c r="P66" s="440">
        <f>'Imp-Aus'!G$249</f>
        <v>0</v>
      </c>
      <c r="Q66" s="440">
        <f>'Imp-Aus'!H$249</f>
        <v>0</v>
      </c>
      <c r="R66" s="440">
        <f>'Imp-Aus'!I$249</f>
        <v>0</v>
      </c>
      <c r="S66" s="440">
        <f>'Imp-Aus'!J$249</f>
        <v>0</v>
      </c>
      <c r="T66" s="440">
        <f>'Imp-Aus'!K$249</f>
        <v>0</v>
      </c>
      <c r="U66" s="441">
        <f>'Imp-Aus'!L$249</f>
        <v>0</v>
      </c>
    </row>
    <row r="67" spans="2:22" x14ac:dyDescent="0.2">
      <c r="B67" s="333" t="s">
        <v>552</v>
      </c>
      <c r="C67" s="327">
        <f>C30</f>
        <v>0</v>
      </c>
      <c r="D67" s="327" t="s">
        <v>595</v>
      </c>
      <c r="F67" s="442">
        <f>'Imp-Aus2'!E$248</f>
        <v>0</v>
      </c>
      <c r="G67" s="443">
        <f>'Imp-Aus2'!F$248</f>
        <v>0</v>
      </c>
      <c r="H67" s="443">
        <f>'Imp-Aus2'!G$248</f>
        <v>0</v>
      </c>
      <c r="I67" s="443">
        <f>'Imp-Aus2'!H$248</f>
        <v>0</v>
      </c>
      <c r="J67" s="443">
        <f>'Imp-Aus2'!I$248</f>
        <v>0</v>
      </c>
      <c r="K67" s="443">
        <f>'Imp-Aus2'!J$248</f>
        <v>0</v>
      </c>
      <c r="L67" s="443">
        <f>'Imp-Aus2'!K$248</f>
        <v>0</v>
      </c>
      <c r="M67" s="443">
        <f>'Imp-Aus2'!L$248</f>
        <v>0</v>
      </c>
      <c r="N67" s="443">
        <f>'Imp-Aus2'!E$249</f>
        <v>0</v>
      </c>
      <c r="O67" s="443">
        <f>'Imp-Aus2'!F$249</f>
        <v>0</v>
      </c>
      <c r="P67" s="443">
        <f>'Imp-Aus2'!G$249</f>
        <v>0</v>
      </c>
      <c r="Q67" s="443">
        <f>'Imp-Aus2'!H$249</f>
        <v>0</v>
      </c>
      <c r="R67" s="443">
        <f>'Imp-Aus2'!I$249</f>
        <v>0</v>
      </c>
      <c r="S67" s="443">
        <f>'Imp-Aus2'!J$249</f>
        <v>0</v>
      </c>
      <c r="T67" s="443">
        <f>'Imp-Aus2'!K$249</f>
        <v>0</v>
      </c>
      <c r="U67" s="444">
        <f>'Imp-Aus2'!L$249</f>
        <v>0</v>
      </c>
    </row>
    <row r="68" spans="2:22" x14ac:dyDescent="0.2">
      <c r="B68" s="333" t="s">
        <v>552</v>
      </c>
      <c r="C68" s="327">
        <f>C35</f>
        <v>0</v>
      </c>
      <c r="D68" s="327" t="s">
        <v>596</v>
      </c>
      <c r="F68" s="439">
        <f>'Imp-Aus3'!E$248</f>
        <v>0</v>
      </c>
      <c r="G68" s="440">
        <f>'Imp-Aus3'!F$248</f>
        <v>0</v>
      </c>
      <c r="H68" s="440">
        <f>'Imp-Aus3'!G$248</f>
        <v>0</v>
      </c>
      <c r="I68" s="440">
        <f>'Imp-Aus3'!H$248</f>
        <v>0</v>
      </c>
      <c r="J68" s="440">
        <f>'Imp-Aus3'!I$248</f>
        <v>0</v>
      </c>
      <c r="K68" s="440">
        <f>'Imp-Aus3'!J$248</f>
        <v>0</v>
      </c>
      <c r="L68" s="440">
        <f>'Imp-Aus3'!K$248</f>
        <v>0</v>
      </c>
      <c r="M68" s="440">
        <f>'Imp-Aus3'!L$248</f>
        <v>0</v>
      </c>
      <c r="N68" s="440">
        <f>'Imp-Aus3'!E$249</f>
        <v>0</v>
      </c>
      <c r="O68" s="440">
        <f>'Imp-Aus3'!F$249</f>
        <v>0</v>
      </c>
      <c r="P68" s="440">
        <f>'Imp-Aus3'!G$249</f>
        <v>0</v>
      </c>
      <c r="Q68" s="440">
        <f>'Imp-Aus3'!H$249</f>
        <v>0</v>
      </c>
      <c r="R68" s="440">
        <f>'Imp-Aus3'!I$249</f>
        <v>0</v>
      </c>
      <c r="S68" s="440">
        <f>'Imp-Aus3'!J$249</f>
        <v>0</v>
      </c>
      <c r="T68" s="440">
        <f>'Imp-Aus3'!K$249</f>
        <v>0</v>
      </c>
      <c r="U68" s="441">
        <f>'Imp-Aus3'!L$249</f>
        <v>0</v>
      </c>
    </row>
    <row r="69" spans="2:22" x14ac:dyDescent="0.2">
      <c r="B69" s="333" t="s">
        <v>555</v>
      </c>
      <c r="F69" s="442">
        <f>'Imp-Mex'!E$248</f>
        <v>0</v>
      </c>
      <c r="G69" s="443">
        <f>'Imp-Mex'!F$248</f>
        <v>0</v>
      </c>
      <c r="H69" s="443">
        <f>'Imp-Mex'!G$248</f>
        <v>0</v>
      </c>
      <c r="I69" s="443">
        <f>'Imp-Mex'!H$248</f>
        <v>0</v>
      </c>
      <c r="J69" s="443">
        <f>'Imp-Mex'!I$248</f>
        <v>0</v>
      </c>
      <c r="K69" s="443">
        <f>'Imp-Mex'!J$248</f>
        <v>0</v>
      </c>
      <c r="L69" s="443">
        <f>'Imp-Mex'!K$248</f>
        <v>0</v>
      </c>
      <c r="M69" s="443">
        <f>'Imp-Mex'!L$248</f>
        <v>0</v>
      </c>
      <c r="N69" s="443">
        <f>'Imp-Mex'!E$249</f>
        <v>0</v>
      </c>
      <c r="O69" s="443">
        <f>'Imp-Mex'!F$249</f>
        <v>0</v>
      </c>
      <c r="P69" s="443">
        <f>'Imp-Mex'!G$249</f>
        <v>0</v>
      </c>
      <c r="Q69" s="443">
        <f>'Imp-Mex'!H$249</f>
        <v>0</v>
      </c>
      <c r="R69" s="443">
        <f>'Imp-Mex'!I$249</f>
        <v>0</v>
      </c>
      <c r="S69" s="443">
        <f>'Imp-Mex'!J$249</f>
        <v>0</v>
      </c>
      <c r="T69" s="443">
        <f>'Imp-Mex'!K$249</f>
        <v>0</v>
      </c>
      <c r="U69" s="444">
        <f>'Imp-Mex'!L$249</f>
        <v>0</v>
      </c>
    </row>
    <row r="70" spans="2:22" x14ac:dyDescent="0.2">
      <c r="B70" s="333" t="s">
        <v>597</v>
      </c>
      <c r="F70" s="439">
        <f>'Imp-US'!E$248</f>
        <v>0</v>
      </c>
      <c r="G70" s="440">
        <f>'Imp-US'!F$248</f>
        <v>0</v>
      </c>
      <c r="H70" s="440">
        <f>'Imp-US'!G$248</f>
        <v>0</v>
      </c>
      <c r="I70" s="440">
        <f>'Imp-US'!H$248</f>
        <v>0</v>
      </c>
      <c r="J70" s="440">
        <f>'Imp-US'!I$248</f>
        <v>0</v>
      </c>
      <c r="K70" s="440">
        <f>'Imp-US'!J$248</f>
        <v>0</v>
      </c>
      <c r="L70" s="440">
        <f>'Imp-US'!K$248</f>
        <v>0</v>
      </c>
      <c r="M70" s="440">
        <f>'Imp-US'!L$248</f>
        <v>0</v>
      </c>
      <c r="N70" s="440">
        <f>'Imp-US'!E$249</f>
        <v>0</v>
      </c>
      <c r="O70" s="440">
        <f>'Imp-US'!F$249</f>
        <v>0</v>
      </c>
      <c r="P70" s="440">
        <f>'Imp-US'!G$249</f>
        <v>0</v>
      </c>
      <c r="Q70" s="440">
        <f>'Imp-US'!H$249</f>
        <v>0</v>
      </c>
      <c r="R70" s="440">
        <f>'Imp-US'!I$249</f>
        <v>0</v>
      </c>
      <c r="S70" s="440">
        <f>'Imp-US'!J$249</f>
        <v>0</v>
      </c>
      <c r="T70" s="440">
        <f>'Imp-US'!K$249</f>
        <v>0</v>
      </c>
      <c r="U70" s="441">
        <f>'Imp-US'!L$249</f>
        <v>0</v>
      </c>
    </row>
    <row r="71" spans="2:22" x14ac:dyDescent="0.2">
      <c r="B71" s="333" t="s">
        <v>557</v>
      </c>
      <c r="F71" s="442">
        <f>'Imp-Other -Autre'!E$248</f>
        <v>0</v>
      </c>
      <c r="G71" s="443">
        <f>'Imp-Other -Autre'!F$248</f>
        <v>0</v>
      </c>
      <c r="H71" s="443">
        <f>'Imp-Other -Autre'!G$248</f>
        <v>0</v>
      </c>
      <c r="I71" s="443">
        <f>'Imp-Other -Autre'!H$248</f>
        <v>0</v>
      </c>
      <c r="J71" s="443">
        <f>'Imp-Other -Autre'!I$248</f>
        <v>0</v>
      </c>
      <c r="K71" s="443">
        <f>'Imp-Other -Autre'!J$248</f>
        <v>0</v>
      </c>
      <c r="L71" s="443">
        <f>'Imp-Other -Autre'!K$248</f>
        <v>0</v>
      </c>
      <c r="M71" s="443">
        <f>'Imp-Other -Autre'!L$248</f>
        <v>0</v>
      </c>
      <c r="N71" s="443">
        <f>'Imp-Other -Autre'!E$249</f>
        <v>0</v>
      </c>
      <c r="O71" s="443">
        <f>'Imp-Other -Autre'!F$249</f>
        <v>0</v>
      </c>
      <c r="P71" s="443">
        <f>'Imp-Other -Autre'!G$249</f>
        <v>0</v>
      </c>
      <c r="Q71" s="443">
        <f>'Imp-Other -Autre'!H$249</f>
        <v>0</v>
      </c>
      <c r="R71" s="443">
        <f>'Imp-Other -Autre'!I$249</f>
        <v>0</v>
      </c>
      <c r="S71" s="443">
        <f>'Imp-Other -Autre'!J$249</f>
        <v>0</v>
      </c>
      <c r="T71" s="443">
        <f>'Imp-Other -Autre'!K$249</f>
        <v>0</v>
      </c>
      <c r="U71" s="444">
        <f>'Imp-Other -Autre'!L$249</f>
        <v>0</v>
      </c>
    </row>
    <row r="72" spans="2:22" ht="12.75" thickBot="1" x14ac:dyDescent="0.25">
      <c r="B72" s="336" t="s">
        <v>582</v>
      </c>
      <c r="C72" s="357"/>
      <c r="D72" s="357"/>
      <c r="E72" s="357"/>
      <c r="F72" s="445">
        <f>'Other Measures|Autre Mesures'!E$248</f>
        <v>0</v>
      </c>
      <c r="G72" s="446">
        <f>'Other Measures|Autre Mesures'!F$248</f>
        <v>0</v>
      </c>
      <c r="H72" s="446">
        <f>'Other Measures|Autre Mesures'!G$248</f>
        <v>0</v>
      </c>
      <c r="I72" s="446">
        <f>'Other Measures|Autre Mesures'!H$248</f>
        <v>0</v>
      </c>
      <c r="J72" s="446">
        <f>'Other Measures|Autre Mesures'!I$248</f>
        <v>0</v>
      </c>
      <c r="K72" s="446">
        <f>'Other Measures|Autre Mesures'!J$248</f>
        <v>0</v>
      </c>
      <c r="L72" s="446">
        <f>'Other Measures|Autre Mesures'!K$248</f>
        <v>0</v>
      </c>
      <c r="M72" s="446">
        <f>'Other Measures|Autre Mesures'!L$248</f>
        <v>0</v>
      </c>
      <c r="N72" s="446">
        <f>'Other Measures|Autre Mesures'!E$249</f>
        <v>0</v>
      </c>
      <c r="O72" s="446">
        <f>'Other Measures|Autre Mesures'!F$249</f>
        <v>0</v>
      </c>
      <c r="P72" s="446">
        <f>'Other Measures|Autre Mesures'!G$249</f>
        <v>0</v>
      </c>
      <c r="Q72" s="446">
        <f>'Other Measures|Autre Mesures'!H$249</f>
        <v>0</v>
      </c>
      <c r="R72" s="446">
        <f>'Other Measures|Autre Mesures'!I$249</f>
        <v>0</v>
      </c>
      <c r="S72" s="446">
        <f>'Other Measures|Autre Mesures'!J$249</f>
        <v>0</v>
      </c>
      <c r="T72" s="446">
        <f>'Other Measures|Autre Mesures'!K$249</f>
        <v>0</v>
      </c>
      <c r="U72" s="447">
        <f>'Other Measures|Autre Mesures'!L$249</f>
        <v>0</v>
      </c>
    </row>
    <row r="73" spans="2:22" x14ac:dyDescent="0.2">
      <c r="D73" s="330" t="s">
        <v>598</v>
      </c>
      <c r="E73" s="346"/>
      <c r="F73" s="442">
        <f>SUM(F66:F72)</f>
        <v>0</v>
      </c>
      <c r="G73" s="443">
        <f t="shared" ref="G73:T73" si="13">SUM(G66:G72)</f>
        <v>0</v>
      </c>
      <c r="H73" s="443">
        <f t="shared" si="13"/>
        <v>0</v>
      </c>
      <c r="I73" s="443">
        <f t="shared" si="13"/>
        <v>0</v>
      </c>
      <c r="J73" s="443">
        <f t="shared" si="13"/>
        <v>0</v>
      </c>
      <c r="K73" s="443">
        <f t="shared" si="13"/>
        <v>0</v>
      </c>
      <c r="L73" s="443">
        <f t="shared" si="13"/>
        <v>0</v>
      </c>
      <c r="M73" s="443">
        <f t="shared" si="13"/>
        <v>0</v>
      </c>
      <c r="N73" s="443">
        <f t="shared" si="13"/>
        <v>0</v>
      </c>
      <c r="O73" s="443">
        <f t="shared" si="13"/>
        <v>0</v>
      </c>
      <c r="P73" s="443">
        <f t="shared" si="13"/>
        <v>0</v>
      </c>
      <c r="Q73" s="443">
        <f t="shared" si="13"/>
        <v>0</v>
      </c>
      <c r="R73" s="443">
        <f t="shared" si="13"/>
        <v>0</v>
      </c>
      <c r="S73" s="443">
        <f t="shared" si="13"/>
        <v>0</v>
      </c>
      <c r="T73" s="443">
        <f t="shared" si="13"/>
        <v>0</v>
      </c>
      <c r="U73" s="444">
        <f>SUM(U66:U72)</f>
        <v>0</v>
      </c>
    </row>
    <row r="74" spans="2:22" x14ac:dyDescent="0.2">
      <c r="D74" s="333"/>
      <c r="F74" s="448">
        <f>SUM('Begin:End2'!E$248)</f>
        <v>0</v>
      </c>
      <c r="G74" s="449">
        <f>SUM('Begin:End2'!F$248)</f>
        <v>0</v>
      </c>
      <c r="H74" s="449">
        <f>SUM('Begin:End2'!G$248)</f>
        <v>0</v>
      </c>
      <c r="I74" s="449">
        <f>SUM('Begin:End2'!H$248)</f>
        <v>0</v>
      </c>
      <c r="J74" s="449">
        <f>SUM('Begin:End2'!I$248)</f>
        <v>0</v>
      </c>
      <c r="K74" s="449">
        <f>SUM('Begin:End2'!J$248)</f>
        <v>0</v>
      </c>
      <c r="L74" s="449">
        <f>SUM('Begin:End2'!K$248)</f>
        <v>0</v>
      </c>
      <c r="M74" s="449">
        <f>SUM('Begin:End2'!L$248)</f>
        <v>0</v>
      </c>
      <c r="N74" s="449">
        <f>SUM('Begin:End2'!E$249)</f>
        <v>0</v>
      </c>
      <c r="O74" s="449">
        <f>SUM('Begin:End2'!F$249)</f>
        <v>0</v>
      </c>
      <c r="P74" s="449">
        <f>SUM('Begin:End2'!G$249)</f>
        <v>0</v>
      </c>
      <c r="Q74" s="449">
        <f>SUM('Begin:End2'!H$249)</f>
        <v>0</v>
      </c>
      <c r="R74" s="449">
        <f>SUM('Begin:End2'!I$249)</f>
        <v>0</v>
      </c>
      <c r="S74" s="449">
        <f>SUM('Begin:End2'!J$249)</f>
        <v>0</v>
      </c>
      <c r="T74" s="449">
        <f>SUM('Begin:End2'!K$249)</f>
        <v>0</v>
      </c>
      <c r="U74" s="450">
        <f>SUM('Begin:End2'!L$249)</f>
        <v>0</v>
      </c>
    </row>
    <row r="75" spans="2:22" ht="12.75" thickBot="1" x14ac:dyDescent="0.25">
      <c r="D75" s="336"/>
      <c r="E75" s="357"/>
      <c r="F75" s="451" t="b">
        <f>F73=F74</f>
        <v>1</v>
      </c>
      <c r="G75" s="452" t="b">
        <f t="shared" ref="G75:S75" si="14">G73=G74</f>
        <v>1</v>
      </c>
      <c r="H75" s="452" t="b">
        <f t="shared" si="14"/>
        <v>1</v>
      </c>
      <c r="I75" s="452" t="b">
        <f t="shared" si="14"/>
        <v>1</v>
      </c>
      <c r="J75" s="452" t="b">
        <f t="shared" si="14"/>
        <v>1</v>
      </c>
      <c r="K75" s="452" t="b">
        <f t="shared" si="14"/>
        <v>1</v>
      </c>
      <c r="L75" s="452" t="b">
        <f t="shared" si="14"/>
        <v>1</v>
      </c>
      <c r="M75" s="452" t="b">
        <f t="shared" si="14"/>
        <v>1</v>
      </c>
      <c r="N75" s="452" t="b">
        <f t="shared" si="14"/>
        <v>1</v>
      </c>
      <c r="O75" s="452" t="b">
        <f t="shared" si="14"/>
        <v>1</v>
      </c>
      <c r="P75" s="452" t="b">
        <f t="shared" si="14"/>
        <v>1</v>
      </c>
      <c r="Q75" s="452" t="b">
        <f t="shared" si="14"/>
        <v>1</v>
      </c>
      <c r="R75" s="452" t="b">
        <f t="shared" si="14"/>
        <v>1</v>
      </c>
      <c r="S75" s="452" t="b">
        <f t="shared" si="14"/>
        <v>1</v>
      </c>
      <c r="T75" s="452" t="b">
        <f>T73=T74</f>
        <v>1</v>
      </c>
      <c r="U75" s="453" t="b">
        <f>U73=U74</f>
        <v>1</v>
      </c>
    </row>
    <row r="77" spans="2:22" ht="27" thickBot="1" x14ac:dyDescent="0.45">
      <c r="B77" s="454" t="s">
        <v>599</v>
      </c>
      <c r="F77" s="812" t="s">
        <v>569</v>
      </c>
      <c r="G77" s="812"/>
      <c r="H77" s="812"/>
      <c r="I77" s="812"/>
      <c r="J77" s="812"/>
      <c r="K77" s="812" t="s">
        <v>570</v>
      </c>
      <c r="L77" s="812"/>
      <c r="M77" s="812"/>
      <c r="N77" s="812"/>
      <c r="O77" s="812"/>
      <c r="P77" s="812"/>
      <c r="Q77" s="369"/>
      <c r="R77" s="369"/>
      <c r="S77" s="369"/>
      <c r="T77" s="369"/>
      <c r="U77" s="369"/>
      <c r="V77" s="369"/>
    </row>
    <row r="78" spans="2:22" x14ac:dyDescent="0.2">
      <c r="B78" s="813" t="s">
        <v>600</v>
      </c>
      <c r="C78" s="814"/>
      <c r="D78" s="814"/>
      <c r="E78" s="346"/>
      <c r="F78" s="372">
        <f>F23</f>
        <v>2023</v>
      </c>
      <c r="G78" s="372">
        <f t="shared" ref="G78:J78" si="15">G23</f>
        <v>2024</v>
      </c>
      <c r="H78" s="372">
        <f t="shared" si="15"/>
        <v>2025</v>
      </c>
      <c r="I78" s="372" t="str">
        <f t="shared" si="15"/>
        <v>I-2025</v>
      </c>
      <c r="J78" s="372" t="str">
        <f t="shared" si="15"/>
        <v>I-2026</v>
      </c>
      <c r="K78" s="372">
        <f>F78</f>
        <v>2023</v>
      </c>
      <c r="L78" s="372">
        <f t="shared" ref="L78:O78" si="16">G78</f>
        <v>2024</v>
      </c>
      <c r="M78" s="372">
        <f t="shared" si="16"/>
        <v>2025</v>
      </c>
      <c r="N78" s="372" t="str">
        <f t="shared" si="16"/>
        <v>I-2025</v>
      </c>
      <c r="O78" s="372" t="str">
        <f t="shared" si="16"/>
        <v>I-2026</v>
      </c>
      <c r="P78" s="372">
        <f>K78</f>
        <v>2023</v>
      </c>
      <c r="Q78" s="372">
        <f>L78</f>
        <v>2024</v>
      </c>
      <c r="R78" s="372">
        <f>M78</f>
        <v>2025</v>
      </c>
      <c r="S78" s="372" t="str">
        <f>N78</f>
        <v>I-2025</v>
      </c>
      <c r="T78" s="373" t="str">
        <f>O78</f>
        <v>I-2026</v>
      </c>
    </row>
    <row r="79" spans="2:22" x14ac:dyDescent="0.2">
      <c r="B79" s="815"/>
      <c r="C79" s="816"/>
      <c r="D79" s="816"/>
      <c r="E79" s="350"/>
      <c r="F79" s="437" t="str">
        <f t="shared" ref="F79:J79" si="17">G24</f>
        <v>VOL</v>
      </c>
      <c r="G79" s="437" t="str">
        <f t="shared" si="17"/>
        <v>VOL</v>
      </c>
      <c r="H79" s="437" t="str">
        <f t="shared" si="17"/>
        <v>VOL</v>
      </c>
      <c r="I79" s="437" t="str">
        <f t="shared" si="17"/>
        <v>VOL</v>
      </c>
      <c r="J79" s="437" t="str">
        <f t="shared" si="17"/>
        <v>VOL</v>
      </c>
      <c r="K79" s="437" t="str">
        <f>L24</f>
        <v>VAL/1000</v>
      </c>
      <c r="L79" s="437" t="str">
        <f t="shared" ref="L79:O79" si="18">M24</f>
        <v>VAL/1000</v>
      </c>
      <c r="M79" s="437" t="str">
        <f t="shared" si="18"/>
        <v>VAL/1000</v>
      </c>
      <c r="N79" s="437" t="str">
        <f t="shared" si="18"/>
        <v>VAL/1000</v>
      </c>
      <c r="O79" s="437" t="str">
        <f t="shared" si="18"/>
        <v>VAL/1000</v>
      </c>
      <c r="P79" s="455" t="str">
        <f>R24</f>
        <v>UV</v>
      </c>
      <c r="Q79" s="455" t="str">
        <f t="shared" ref="Q79:T79" si="19">S24</f>
        <v>UV</v>
      </c>
      <c r="R79" s="455" t="str">
        <f t="shared" si="19"/>
        <v>UV</v>
      </c>
      <c r="S79" s="455" t="str">
        <f t="shared" si="19"/>
        <v>UV</v>
      </c>
      <c r="T79" s="456" t="str">
        <f t="shared" si="19"/>
        <v>UV</v>
      </c>
    </row>
    <row r="80" spans="2:22" ht="12.75" thickBot="1" x14ac:dyDescent="0.25">
      <c r="B80" s="336"/>
      <c r="C80" s="357"/>
      <c r="D80" s="357"/>
      <c r="E80" s="357"/>
      <c r="F80" s="428">
        <f>'Invent-Stock'!G32</f>
        <v>0</v>
      </c>
      <c r="G80" s="428">
        <f>'Invent-Stock'!H32</f>
        <v>0</v>
      </c>
      <c r="H80" s="428">
        <f>'Invent-Stock'!I32</f>
        <v>0</v>
      </c>
      <c r="I80" s="428">
        <f>'Invent-Stock'!J32</f>
        <v>0</v>
      </c>
      <c r="J80" s="428">
        <f>'Invent-Stock'!K32</f>
        <v>0</v>
      </c>
      <c r="K80" s="428">
        <f>'Invent-Stock'!G33/1000</f>
        <v>0</v>
      </c>
      <c r="L80" s="428">
        <f>'Invent-Stock'!H33/1000</f>
        <v>0</v>
      </c>
      <c r="M80" s="428">
        <f>'Invent-Stock'!I33/1000</f>
        <v>0</v>
      </c>
      <c r="N80" s="428">
        <f>'Invent-Stock'!J33/1000</f>
        <v>0</v>
      </c>
      <c r="O80" s="428">
        <f>'Invent-Stock'!K33/1000</f>
        <v>0</v>
      </c>
      <c r="P80" s="428">
        <f>(IF(ISERROR(K80/F80),0,K80/F80))*1000</f>
        <v>0</v>
      </c>
      <c r="Q80" s="428">
        <f>(IF(ISERROR(L80/G80),0,L80/G80))*1000</f>
        <v>0</v>
      </c>
      <c r="R80" s="428">
        <f>(IF(ISERROR(M80/H80),0,M80/H80))*1000</f>
        <v>0</v>
      </c>
      <c r="S80" s="428">
        <f>(IF(ISERROR(N80/I80),0,N80/I80))*1000</f>
        <v>0</v>
      </c>
      <c r="T80" s="429">
        <f>(IF(ISERROR(O80/J80),0,O80/J80))*1000</f>
        <v>0</v>
      </c>
    </row>
    <row r="81" spans="1:21" ht="12.75" thickBot="1" x14ac:dyDescent="0.25"/>
    <row r="82" spans="1:21" x14ac:dyDescent="0.2">
      <c r="B82" s="330"/>
      <c r="C82" s="346"/>
      <c r="D82" s="346"/>
      <c r="E82" s="346"/>
      <c r="F82" s="372">
        <v>2023</v>
      </c>
      <c r="G82" s="372">
        <v>2024</v>
      </c>
      <c r="H82" s="372">
        <v>2025</v>
      </c>
      <c r="I82" s="372" t="s">
        <v>572</v>
      </c>
      <c r="J82" s="372" t="s">
        <v>573</v>
      </c>
      <c r="K82" s="372" t="s">
        <v>574</v>
      </c>
      <c r="L82" s="372">
        <f>F82</f>
        <v>2023</v>
      </c>
      <c r="M82" s="372">
        <f t="shared" ref="M82:Q82" si="20">G82</f>
        <v>2024</v>
      </c>
      <c r="N82" s="372">
        <f t="shared" si="20"/>
        <v>2025</v>
      </c>
      <c r="O82" s="372" t="str">
        <f t="shared" si="20"/>
        <v>I-2025</v>
      </c>
      <c r="P82" s="372" t="str">
        <f t="shared" si="20"/>
        <v>I-2026</v>
      </c>
      <c r="Q82" s="373" t="str">
        <f t="shared" si="20"/>
        <v>POID/POIS</v>
      </c>
    </row>
    <row r="83" spans="1:21" x14ac:dyDescent="0.2">
      <c r="B83" s="333" t="s">
        <v>598</v>
      </c>
      <c r="D83" s="327" t="s">
        <v>91</v>
      </c>
      <c r="F83" s="411">
        <f>SUMIFS(F$25:F$59,$D$25:$D$59,$D$20)</f>
        <v>0</v>
      </c>
      <c r="G83" s="411">
        <f t="shared" ref="G83:K83" si="21">SUMIFS(G$25:G$59,$D$25:$D$59,$D$20)</f>
        <v>0</v>
      </c>
      <c r="H83" s="411">
        <f t="shared" si="21"/>
        <v>0</v>
      </c>
      <c r="I83" s="411">
        <f t="shared" si="21"/>
        <v>0</v>
      </c>
      <c r="J83" s="411">
        <f t="shared" si="21"/>
        <v>0</v>
      </c>
      <c r="K83" s="411">
        <f t="shared" si="21"/>
        <v>0</v>
      </c>
      <c r="L83" s="411">
        <f>SUMIFS(L$25:L$59,$D$25:$D$59,$D$20)</f>
        <v>0</v>
      </c>
      <c r="M83" s="411">
        <f t="shared" ref="M83:Q83" si="22">SUMIFS(M$25:M$59,$D$25:$D$59,$D$20)</f>
        <v>0</v>
      </c>
      <c r="N83" s="411">
        <f t="shared" si="22"/>
        <v>0</v>
      </c>
      <c r="O83" s="411">
        <f t="shared" si="22"/>
        <v>0</v>
      </c>
      <c r="P83" s="411">
        <f t="shared" si="22"/>
        <v>0</v>
      </c>
      <c r="Q83" s="412">
        <f t="shared" si="22"/>
        <v>0</v>
      </c>
      <c r="R83" s="411"/>
      <c r="S83" s="395"/>
      <c r="T83" s="395"/>
      <c r="U83" s="395"/>
    </row>
    <row r="84" spans="1:21" x14ac:dyDescent="0.2">
      <c r="B84" s="333"/>
      <c r="F84" s="411">
        <f>SUM('Begin:End2'!G26)</f>
        <v>0</v>
      </c>
      <c r="G84" s="411">
        <f>SUM('Begin:End2'!H26)</f>
        <v>0</v>
      </c>
      <c r="H84" s="411">
        <f>SUM('Begin:End2'!I26)</f>
        <v>0</v>
      </c>
      <c r="I84" s="411">
        <f>SUM('Begin:End2'!J26)</f>
        <v>0</v>
      </c>
      <c r="J84" s="411">
        <f>SUM('Begin:End2'!K26)</f>
        <v>0</v>
      </c>
      <c r="K84" s="411">
        <f>SUM('Begin:End2'!F237)</f>
        <v>0</v>
      </c>
      <c r="L84" s="411">
        <f>SUM('Begin:End2'!G27)/1000</f>
        <v>0</v>
      </c>
      <c r="M84" s="411">
        <f>SUM('Begin:End2'!H27)/1000</f>
        <v>0</v>
      </c>
      <c r="N84" s="411">
        <f>SUM('Begin:End2'!I27)/1000</f>
        <v>0</v>
      </c>
      <c r="O84" s="411">
        <f>SUM('Begin:End2'!J27)/1000</f>
        <v>0</v>
      </c>
      <c r="P84" s="411">
        <f>SUM('Begin:End2'!K27)/1000</f>
        <v>0</v>
      </c>
      <c r="Q84" s="412">
        <f>SUM('Begin:End2'!F238)/1000</f>
        <v>0</v>
      </c>
      <c r="R84" s="411"/>
      <c r="S84" s="395"/>
      <c r="T84" s="395"/>
      <c r="U84" s="395"/>
    </row>
    <row r="85" spans="1:21" x14ac:dyDescent="0.2">
      <c r="A85" s="390"/>
      <c r="B85" s="333"/>
      <c r="F85" s="419" t="b">
        <f>F83=F84</f>
        <v>1</v>
      </c>
      <c r="G85" s="419" t="b">
        <f t="shared" ref="G85:Q85" si="23">G83=G84</f>
        <v>1</v>
      </c>
      <c r="H85" s="419" t="b">
        <f t="shared" si="23"/>
        <v>1</v>
      </c>
      <c r="I85" s="419" t="b">
        <f t="shared" si="23"/>
        <v>1</v>
      </c>
      <c r="J85" s="419" t="b">
        <f t="shared" si="23"/>
        <v>1</v>
      </c>
      <c r="K85" s="419" t="b">
        <f t="shared" si="23"/>
        <v>1</v>
      </c>
      <c r="L85" s="419" t="b">
        <f t="shared" si="23"/>
        <v>1</v>
      </c>
      <c r="M85" s="419" t="b">
        <f t="shared" si="23"/>
        <v>1</v>
      </c>
      <c r="N85" s="419" t="b">
        <f t="shared" si="23"/>
        <v>1</v>
      </c>
      <c r="O85" s="419" t="b">
        <f t="shared" si="23"/>
        <v>1</v>
      </c>
      <c r="P85" s="419" t="b">
        <f t="shared" si="23"/>
        <v>1</v>
      </c>
      <c r="Q85" s="420" t="b">
        <f t="shared" si="23"/>
        <v>1</v>
      </c>
      <c r="R85" s="419"/>
      <c r="S85" s="419"/>
      <c r="T85" s="419"/>
      <c r="U85" s="419"/>
    </row>
    <row r="86" spans="1:21" x14ac:dyDescent="0.2">
      <c r="B86" s="333"/>
      <c r="D86" s="327" t="s">
        <v>601</v>
      </c>
      <c r="F86" s="411">
        <f>SUMIFS(F$25:F$59,$D$25:$D$59,$D$21)</f>
        <v>0</v>
      </c>
      <c r="G86" s="411">
        <f t="shared" ref="G86:J86" si="24">SUMIFS(G$25:G$59,$D$25:$D$59,$D$21)</f>
        <v>0</v>
      </c>
      <c r="H86" s="411">
        <f t="shared" si="24"/>
        <v>0</v>
      </c>
      <c r="I86" s="411">
        <f t="shared" si="24"/>
        <v>0</v>
      </c>
      <c r="J86" s="411">
        <f t="shared" si="24"/>
        <v>0</v>
      </c>
      <c r="K86" s="411"/>
      <c r="L86" s="411">
        <f>SUMIFS(L$25:L$59,$D$25:$D$59,$D$21)</f>
        <v>0</v>
      </c>
      <c r="M86" s="411">
        <f t="shared" ref="M86:P86" si="25">SUMIFS(M$25:M$59,$D$25:$D$59,$D$21)</f>
        <v>0</v>
      </c>
      <c r="N86" s="411">
        <f t="shared" si="25"/>
        <v>0</v>
      </c>
      <c r="O86" s="411">
        <f t="shared" si="25"/>
        <v>0</v>
      </c>
      <c r="P86" s="411">
        <f t="shared" si="25"/>
        <v>0</v>
      </c>
      <c r="Q86" s="412"/>
      <c r="R86" s="411"/>
      <c r="S86" s="395"/>
      <c r="T86" s="395"/>
      <c r="U86" s="395"/>
    </row>
    <row r="87" spans="1:21" x14ac:dyDescent="0.2">
      <c r="B87" s="333"/>
      <c r="F87" s="411">
        <f>SUM('Begin:End2'!G31,'Begin:End2'!G34)</f>
        <v>0</v>
      </c>
      <c r="G87" s="411">
        <f>SUM('Begin:End2'!H31,'Begin:End2'!H34)</f>
        <v>0</v>
      </c>
      <c r="H87" s="411">
        <f>SUM('Begin:End2'!I31,'Begin:End2'!I34)</f>
        <v>0</v>
      </c>
      <c r="I87" s="411">
        <f>SUM('Begin:End2'!J31,'Begin:End2'!J34)</f>
        <v>0</v>
      </c>
      <c r="J87" s="411">
        <f>SUM('Begin:End2'!K31,'Begin:End2'!K34)</f>
        <v>0</v>
      </c>
      <c r="K87" s="411"/>
      <c r="L87" s="411">
        <f>SUM('Begin:End2'!G32,'Begin:End2'!G35)/1000</f>
        <v>0</v>
      </c>
      <c r="M87" s="411">
        <f>SUM('Begin:End2'!H32,'Begin:End2'!H35)/1000</f>
        <v>0</v>
      </c>
      <c r="N87" s="411">
        <f>SUM('Begin:End2'!I32,'Begin:End2'!I35)/1000</f>
        <v>0</v>
      </c>
      <c r="O87" s="411">
        <f>SUM('Begin:End2'!J32,'Begin:End2'!J35)/1000</f>
        <v>0</v>
      </c>
      <c r="P87" s="411">
        <f>SUM('Begin:End2'!K32,'Begin:End2'!K35)/1000</f>
        <v>0</v>
      </c>
      <c r="Q87" s="412"/>
      <c r="R87" s="411"/>
      <c r="S87" s="395"/>
      <c r="T87" s="395"/>
      <c r="U87" s="395"/>
    </row>
    <row r="88" spans="1:21" x14ac:dyDescent="0.2">
      <c r="B88" s="333"/>
      <c r="F88" s="419" t="b">
        <f>F86=F87</f>
        <v>1</v>
      </c>
      <c r="G88" s="419" t="b">
        <f t="shared" ref="G88:P88" si="26">G86=G87</f>
        <v>1</v>
      </c>
      <c r="H88" s="419" t="b">
        <f t="shared" si="26"/>
        <v>1</v>
      </c>
      <c r="I88" s="419" t="b">
        <f t="shared" si="26"/>
        <v>1</v>
      </c>
      <c r="J88" s="419" t="b">
        <f t="shared" si="26"/>
        <v>1</v>
      </c>
      <c r="K88" s="419"/>
      <c r="L88" s="419" t="b">
        <f t="shared" si="26"/>
        <v>1</v>
      </c>
      <c r="M88" s="419" t="b">
        <f t="shared" si="26"/>
        <v>1</v>
      </c>
      <c r="N88" s="419" t="b">
        <f t="shared" si="26"/>
        <v>1</v>
      </c>
      <c r="O88" s="419" t="b">
        <f t="shared" si="26"/>
        <v>1</v>
      </c>
      <c r="P88" s="419" t="b">
        <f t="shared" si="26"/>
        <v>1</v>
      </c>
      <c r="Q88" s="420"/>
      <c r="R88" s="419"/>
      <c r="S88" s="419"/>
      <c r="T88" s="419"/>
      <c r="U88" s="419"/>
    </row>
    <row r="89" spans="1:21" x14ac:dyDescent="0.2">
      <c r="B89" s="333"/>
      <c r="D89" s="327" t="s">
        <v>602</v>
      </c>
      <c r="F89" s="411">
        <f>SUMIFS(F$25:F$59,$D$25:$D$59,$D$22)</f>
        <v>0</v>
      </c>
      <c r="G89" s="411">
        <f t="shared" ref="G89:J89" si="27">SUMIFS(G$25:G$59,$D$25:$D$59,$D$22)</f>
        <v>0</v>
      </c>
      <c r="H89" s="411">
        <f t="shared" si="27"/>
        <v>0</v>
      </c>
      <c r="I89" s="411">
        <f t="shared" si="27"/>
        <v>0</v>
      </c>
      <c r="J89" s="411">
        <f t="shared" si="27"/>
        <v>0</v>
      </c>
      <c r="K89" s="411"/>
      <c r="L89" s="411">
        <f>SUMIFS(L$25:L$59,$D$25:$D$59,$D$22)</f>
        <v>0</v>
      </c>
      <c r="M89" s="411">
        <f t="shared" ref="M89:P89" si="28">SUMIFS(M$25:M$59,$D$25:$D$59,$D$22)</f>
        <v>0</v>
      </c>
      <c r="N89" s="411">
        <f t="shared" si="28"/>
        <v>0</v>
      </c>
      <c r="O89" s="411">
        <f t="shared" si="28"/>
        <v>0</v>
      </c>
      <c r="P89" s="411">
        <f t="shared" si="28"/>
        <v>0</v>
      </c>
      <c r="Q89" s="412"/>
    </row>
    <row r="90" spans="1:21" x14ac:dyDescent="0.2">
      <c r="B90" s="333"/>
      <c r="F90" s="411">
        <f>SUM('Begin:End2'!G38,'Begin:End2'!G41)</f>
        <v>0</v>
      </c>
      <c r="G90" s="411">
        <f>SUM('Begin:End2'!H38,'Begin:End2'!H41)</f>
        <v>0</v>
      </c>
      <c r="H90" s="411">
        <f>SUM('Begin:End2'!I38,'Begin:End2'!I41)</f>
        <v>0</v>
      </c>
      <c r="I90" s="411">
        <f>SUM('Begin:End2'!J38,'Begin:End2'!J41)</f>
        <v>0</v>
      </c>
      <c r="J90" s="411">
        <f>SUM('Begin:End2'!K38,'Begin:End2'!K41)</f>
        <v>0</v>
      </c>
      <c r="K90" s="411"/>
      <c r="L90" s="411">
        <f>SUM('Begin:End2'!G39,'Begin:End2'!G42)/1000</f>
        <v>0</v>
      </c>
      <c r="M90" s="411">
        <f>SUM('Begin:End2'!H39,'Begin:End2'!H42)/1000</f>
        <v>0</v>
      </c>
      <c r="N90" s="411">
        <f>SUM('Begin:End2'!I39,'Begin:End2'!I42)/1000</f>
        <v>0</v>
      </c>
      <c r="O90" s="411">
        <f>SUM('Begin:End2'!J39,'Begin:End2'!J42)/1000</f>
        <v>0</v>
      </c>
      <c r="P90" s="411">
        <f>SUM('Begin:End2'!K39,'Begin:End2'!K42)/1000</f>
        <v>0</v>
      </c>
      <c r="Q90" s="412"/>
    </row>
    <row r="91" spans="1:21" ht="12.75" thickBot="1" x14ac:dyDescent="0.25">
      <c r="B91" s="336"/>
      <c r="C91" s="357"/>
      <c r="D91" s="357"/>
      <c r="E91" s="357"/>
      <c r="F91" s="452" t="b">
        <f>F89=F90</f>
        <v>1</v>
      </c>
      <c r="G91" s="452" t="b">
        <f t="shared" ref="G91:P91" si="29">G89=G90</f>
        <v>1</v>
      </c>
      <c r="H91" s="452" t="b">
        <f t="shared" si="29"/>
        <v>1</v>
      </c>
      <c r="I91" s="452" t="b">
        <f t="shared" si="29"/>
        <v>1</v>
      </c>
      <c r="J91" s="452" t="b">
        <f t="shared" si="29"/>
        <v>1</v>
      </c>
      <c r="K91" s="452"/>
      <c r="L91" s="452" t="b">
        <f t="shared" si="29"/>
        <v>1</v>
      </c>
      <c r="M91" s="452" t="b">
        <f t="shared" si="29"/>
        <v>1</v>
      </c>
      <c r="N91" s="452" t="b">
        <f t="shared" si="29"/>
        <v>1</v>
      </c>
      <c r="O91" s="452" t="b">
        <f t="shared" si="29"/>
        <v>1</v>
      </c>
      <c r="P91" s="452" t="b">
        <f t="shared" si="29"/>
        <v>1</v>
      </c>
      <c r="Q91" s="453"/>
    </row>
    <row r="98" spans="24:24" x14ac:dyDescent="0.2">
      <c r="X98" s="353"/>
    </row>
  </sheetData>
  <sheetProtection algorithmName="SHA-512" hashValue="ENx+lPj6szy0l8saMYJMEdLGWoOB3OvG6Xnjrdkg3kLXQNasv9jAyUzDrq4iIMquBBdwJComqXAOaCAa/OsyPw==" saltValue="vVS9ERwDNtAW+I1ipyU2tw==" spinCount="100000" sheet="1" objects="1" scenarios="1" selectLockedCells="1"/>
  <mergeCells count="11">
    <mergeCell ref="F77:J77"/>
    <mergeCell ref="K77:P77"/>
    <mergeCell ref="B78:D78"/>
    <mergeCell ref="B79:D79"/>
    <mergeCell ref="B1:C1"/>
    <mergeCell ref="B7:D7"/>
    <mergeCell ref="F21:Q21"/>
    <mergeCell ref="B23:D23"/>
    <mergeCell ref="B63:D63"/>
    <mergeCell ref="F63:M63"/>
    <mergeCell ref="N63:U63"/>
  </mergeCells>
  <conditionalFormatting sqref="D3:D20">
    <cfRule type="containsText" dxfId="14" priority="1" operator="containsText" text="Don't">
      <formula>NOT(ISERROR(SEARCH("Don't",D3)))</formula>
    </cfRule>
    <cfRule type="containsText" dxfId="13" priority="2" operator="containsText" text="Copy">
      <formula>NOT(ISERROR(SEARCH("Copy",D3)))</formula>
    </cfRule>
  </conditionalFormatting>
  <conditionalFormatting sqref="F75:U75 F83:R88 S85:U85 S88:U88 F89:Q91">
    <cfRule type="containsText" dxfId="12" priority="3" operator="containsText" text="FALSE">
      <formula>NOT(ISERROR(SEARCH("FALSE",F75)))</formula>
    </cfRule>
    <cfRule type="containsText" dxfId="11" priority="4" operator="containsText" text="TRUE">
      <formula>NOT(ISERROR(SEARCH("TRUE",F75)))</formula>
    </cfRule>
  </conditionalFormatting>
  <dataValidations count="2">
    <dataValidation type="list" allowBlank="1" showInputMessage="1" showErrorMessage="1" sqref="D25:D59" xr:uid="{20419A31-5D84-428B-BF83-697F8FE68B8F}">
      <formula1>$D$20:$D$22</formula1>
    </dataValidation>
    <dataValidation type="list" allowBlank="1" showInputMessage="1" showErrorMessage="1" sqref="E20:F20" xr:uid="{67BD476E-9D64-4E18-A757-22095498C38D}">
      <formula1>#REF!</formula1>
    </dataValidation>
  </dataValidation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A310F-769B-499B-8331-3152B5861F74}">
  <sheetPr>
    <tabColor rgb="FFFFC000"/>
  </sheetPr>
  <dimension ref="A1:AC200"/>
  <sheetViews>
    <sheetView topLeftCell="A34" zoomScale="80" zoomScaleNormal="80" workbookViewId="0">
      <selection activeCell="G24" sqref="G24"/>
    </sheetView>
  </sheetViews>
  <sheetFormatPr defaultRowHeight="15" x14ac:dyDescent="0.25"/>
  <cols>
    <col min="1" max="1" width="35.42578125" customWidth="1"/>
    <col min="2" max="2" width="32.28515625" bestFit="1" customWidth="1"/>
    <col min="3" max="3" width="11.7109375" bestFit="1" customWidth="1"/>
    <col min="4" max="4" width="12.140625" bestFit="1" customWidth="1"/>
    <col min="5" max="5" width="39.28515625" bestFit="1" customWidth="1"/>
    <col min="6" max="6" width="10.42578125" bestFit="1" customWidth="1"/>
    <col min="7" max="7" width="10.28515625" customWidth="1"/>
    <col min="8" max="8" width="11.28515625" bestFit="1" customWidth="1"/>
    <col min="9" max="9" width="10.28515625" bestFit="1" customWidth="1"/>
    <col min="10" max="10" width="11.42578125" bestFit="1" customWidth="1"/>
    <col min="11" max="13" width="11.28515625" bestFit="1" customWidth="1"/>
    <col min="14" max="14" width="10.140625" bestFit="1" customWidth="1"/>
    <col min="15" max="15" width="12.28515625" bestFit="1" customWidth="1"/>
    <col min="16" max="16" width="12.28515625" customWidth="1"/>
    <col min="17" max="21" width="11.28515625" bestFit="1" customWidth="1"/>
    <col min="22" max="22" width="10.140625" bestFit="1" customWidth="1"/>
  </cols>
  <sheetData>
    <row r="1" spans="1:29" ht="30" x14ac:dyDescent="0.25">
      <c r="C1" s="457"/>
      <c r="D1" s="457"/>
      <c r="E1" s="458" t="s">
        <v>603</v>
      </c>
      <c r="F1" s="459">
        <f>Pro!G103</f>
        <v>2023</v>
      </c>
      <c r="G1" s="459">
        <f>Pro!H103</f>
        <v>2024</v>
      </c>
      <c r="H1" s="459">
        <f>Pro!I103</f>
        <v>2025</v>
      </c>
      <c r="I1" s="459" t="str">
        <f>Pro!J103</f>
        <v>janv.-mars 2025</v>
      </c>
      <c r="J1" s="459" t="str">
        <f>Pro!K103</f>
        <v>janv.-mars 2026</v>
      </c>
      <c r="K1" s="459">
        <f>F1</f>
        <v>2023</v>
      </c>
      <c r="L1" s="459">
        <f>G1</f>
        <v>2024</v>
      </c>
      <c r="M1" s="459">
        <f>H1</f>
        <v>2025</v>
      </c>
      <c r="N1" s="459" t="str">
        <f>I1</f>
        <v>janv.-mars 2025</v>
      </c>
      <c r="O1" s="460" t="str">
        <f>J1</f>
        <v>janv.-mars 2026</v>
      </c>
    </row>
    <row r="2" spans="1:29" x14ac:dyDescent="0.25">
      <c r="E2" s="461" t="s">
        <v>34</v>
      </c>
      <c r="F2">
        <f t="shared" ref="F2:J7" si="0">F$8*K2*0.01</f>
        <v>0</v>
      </c>
      <c r="G2">
        <f t="shared" si="0"/>
        <v>0</v>
      </c>
      <c r="H2">
        <f t="shared" si="0"/>
        <v>0</v>
      </c>
      <c r="I2">
        <f t="shared" si="0"/>
        <v>0</v>
      </c>
      <c r="J2">
        <f t="shared" si="0"/>
        <v>0</v>
      </c>
      <c r="K2">
        <f>Pro!G105</f>
        <v>0</v>
      </c>
      <c r="L2">
        <f>Pro!H105</f>
        <v>0</v>
      </c>
      <c r="M2">
        <f>Pro!I105</f>
        <v>0</v>
      </c>
      <c r="N2">
        <f>Pro!J105</f>
        <v>0</v>
      </c>
      <c r="O2" s="462">
        <f>Pro!K105</f>
        <v>0</v>
      </c>
    </row>
    <row r="3" spans="1:29" x14ac:dyDescent="0.25">
      <c r="E3" s="461" t="s">
        <v>36</v>
      </c>
      <c r="F3">
        <f t="shared" si="0"/>
        <v>0</v>
      </c>
      <c r="G3">
        <f t="shared" si="0"/>
        <v>0</v>
      </c>
      <c r="H3">
        <f t="shared" si="0"/>
        <v>0</v>
      </c>
      <c r="I3">
        <f t="shared" si="0"/>
        <v>0</v>
      </c>
      <c r="J3">
        <f t="shared" si="0"/>
        <v>0</v>
      </c>
      <c r="K3">
        <f>Pro!G106</f>
        <v>0</v>
      </c>
      <c r="L3">
        <f>Pro!H106</f>
        <v>0</v>
      </c>
      <c r="M3">
        <f>Pro!I106</f>
        <v>0</v>
      </c>
      <c r="N3">
        <f>Pro!J106</f>
        <v>0</v>
      </c>
      <c r="O3" s="462">
        <f>Pro!K106</f>
        <v>0</v>
      </c>
    </row>
    <row r="4" spans="1:29" x14ac:dyDescent="0.25">
      <c r="E4" s="461" t="s">
        <v>38</v>
      </c>
      <c r="F4">
        <f t="shared" si="0"/>
        <v>0</v>
      </c>
      <c r="G4">
        <f t="shared" si="0"/>
        <v>0</v>
      </c>
      <c r="H4">
        <f t="shared" si="0"/>
        <v>0</v>
      </c>
      <c r="I4">
        <f t="shared" si="0"/>
        <v>0</v>
      </c>
      <c r="J4">
        <f t="shared" si="0"/>
        <v>0</v>
      </c>
      <c r="K4">
        <f>Pro!G107</f>
        <v>0</v>
      </c>
      <c r="L4">
        <f>Pro!H107</f>
        <v>0</v>
      </c>
      <c r="M4">
        <f>Pro!I107</f>
        <v>0</v>
      </c>
      <c r="N4">
        <f>Pro!J107</f>
        <v>0</v>
      </c>
      <c r="O4" s="462">
        <f>Pro!K107</f>
        <v>0</v>
      </c>
    </row>
    <row r="5" spans="1:29" x14ac:dyDescent="0.25">
      <c r="E5" s="461" t="s">
        <v>39</v>
      </c>
      <c r="F5">
        <f t="shared" si="0"/>
        <v>0</v>
      </c>
      <c r="G5">
        <f t="shared" si="0"/>
        <v>0</v>
      </c>
      <c r="H5">
        <f t="shared" si="0"/>
        <v>0</v>
      </c>
      <c r="I5">
        <f t="shared" si="0"/>
        <v>0</v>
      </c>
      <c r="J5">
        <f t="shared" si="0"/>
        <v>0</v>
      </c>
      <c r="K5">
        <f>Pro!G108</f>
        <v>0</v>
      </c>
      <c r="L5">
        <f>Pro!H108</f>
        <v>0</v>
      </c>
      <c r="M5">
        <f>Pro!I108</f>
        <v>0</v>
      </c>
      <c r="N5">
        <f>Pro!J108</f>
        <v>0</v>
      </c>
      <c r="O5" s="462">
        <f>Pro!K108</f>
        <v>0</v>
      </c>
    </row>
    <row r="6" spans="1:29" x14ac:dyDescent="0.25">
      <c r="E6" s="461" t="s">
        <v>41</v>
      </c>
      <c r="F6">
        <f t="shared" si="0"/>
        <v>0</v>
      </c>
      <c r="G6">
        <f t="shared" si="0"/>
        <v>0</v>
      </c>
      <c r="H6">
        <f t="shared" si="0"/>
        <v>0</v>
      </c>
      <c r="I6">
        <f t="shared" si="0"/>
        <v>0</v>
      </c>
      <c r="J6">
        <f t="shared" si="0"/>
        <v>0</v>
      </c>
      <c r="K6">
        <f>Pro!G109</f>
        <v>0</v>
      </c>
      <c r="L6">
        <f>Pro!H109</f>
        <v>0</v>
      </c>
      <c r="M6">
        <f>Pro!I109</f>
        <v>0</v>
      </c>
      <c r="N6">
        <f>Pro!J109</f>
        <v>0</v>
      </c>
      <c r="O6" s="462">
        <f>Pro!K109</f>
        <v>0</v>
      </c>
    </row>
    <row r="7" spans="1:29" ht="15.75" thickBot="1" x14ac:dyDescent="0.3">
      <c r="E7" s="463" t="s">
        <v>222</v>
      </c>
      <c r="F7" s="464">
        <f t="shared" si="0"/>
        <v>0</v>
      </c>
      <c r="G7" s="464">
        <f t="shared" si="0"/>
        <v>0</v>
      </c>
      <c r="H7" s="464">
        <f t="shared" si="0"/>
        <v>0</v>
      </c>
      <c r="I7" s="464">
        <f t="shared" si="0"/>
        <v>0</v>
      </c>
      <c r="J7" s="464">
        <f t="shared" si="0"/>
        <v>0</v>
      </c>
      <c r="K7" s="464">
        <f>Pro!G110</f>
        <v>100</v>
      </c>
      <c r="L7" s="464">
        <f>Pro!H110</f>
        <v>100</v>
      </c>
      <c r="M7" s="464">
        <f>Pro!I110</f>
        <v>100</v>
      </c>
      <c r="N7" s="464">
        <f>Pro!J110</f>
        <v>100</v>
      </c>
      <c r="O7" s="465">
        <f>Pro!K110</f>
        <v>100</v>
      </c>
    </row>
    <row r="8" spans="1:29" x14ac:dyDescent="0.25">
      <c r="E8" s="466" t="s">
        <v>604</v>
      </c>
      <c r="F8" s="467">
        <f>SUM('Begin:End2'!G31,'Begin:End2'!G34,'Begin:End2'!G38,'Begin:End2'!G41)</f>
        <v>0</v>
      </c>
      <c r="G8" s="467">
        <f>SUM('Begin:End2'!H31,'Begin:End2'!H34,'Begin:End2'!H38,'Begin:End2'!H41)</f>
        <v>0</v>
      </c>
      <c r="H8" s="467">
        <f>SUM('Begin:End2'!I31,'Begin:End2'!I34,'Begin:End2'!I38,'Begin:End2'!I41)</f>
        <v>0</v>
      </c>
      <c r="I8" s="467">
        <f>SUM('Begin:End2'!J31,'Begin:End2'!J34,'Begin:End2'!J38,'Begin:End2'!J41)</f>
        <v>0</v>
      </c>
      <c r="J8" s="468">
        <f>SUM('Begin:End2'!K31,'Begin:End2'!K34,'Begin:End2'!K38,'Begin:End2'!K41)</f>
        <v>0</v>
      </c>
    </row>
    <row r="9" spans="1:29" x14ac:dyDescent="0.25">
      <c r="E9" s="461" t="s">
        <v>604</v>
      </c>
      <c r="F9" s="469">
        <f>SUM('Begin:End2'!G44)</f>
        <v>0</v>
      </c>
      <c r="G9" s="469">
        <f>SUM('Begin:End2'!H44)</f>
        <v>0</v>
      </c>
      <c r="H9" s="469">
        <f>SUM('Begin:End2'!I44)</f>
        <v>0</v>
      </c>
      <c r="I9" s="469">
        <f>SUM('Begin:End2'!J44)</f>
        <v>0</v>
      </c>
      <c r="J9" s="470">
        <f>SUM('Begin:End2'!K44)</f>
        <v>0</v>
      </c>
    </row>
    <row r="10" spans="1:29" ht="15.75" thickBot="1" x14ac:dyDescent="0.3">
      <c r="E10" s="463" t="s">
        <v>598</v>
      </c>
      <c r="F10" s="452" t="b">
        <f>F8=F9</f>
        <v>1</v>
      </c>
      <c r="G10" s="452" t="b">
        <f t="shared" ref="G10:J10" si="1">G8=G9</f>
        <v>1</v>
      </c>
      <c r="H10" s="452" t="b">
        <f t="shared" si="1"/>
        <v>1</v>
      </c>
      <c r="I10" s="452" t="b">
        <f t="shared" si="1"/>
        <v>1</v>
      </c>
      <c r="J10" s="453" t="b">
        <f t="shared" si="1"/>
        <v>1</v>
      </c>
    </row>
    <row r="11" spans="1:29" ht="15.75" thickBot="1" x14ac:dyDescent="0.3">
      <c r="B11" s="827"/>
      <c r="C11" s="827"/>
      <c r="D11" s="827"/>
      <c r="F11" s="471" t="s">
        <v>566</v>
      </c>
      <c r="G11" s="472"/>
      <c r="H11" s="472"/>
      <c r="I11" s="472"/>
      <c r="J11" s="472"/>
      <c r="K11" s="472"/>
      <c r="L11" s="473"/>
      <c r="M11" s="473"/>
      <c r="N11" s="473"/>
      <c r="O11" s="473"/>
      <c r="P11" s="473"/>
      <c r="Q11" s="473"/>
      <c r="R11" s="473"/>
      <c r="S11" s="473"/>
      <c r="T11" s="473"/>
      <c r="U11" s="473"/>
      <c r="V11" s="828" t="s">
        <v>567</v>
      </c>
      <c r="W11" s="828"/>
      <c r="X11" s="828"/>
      <c r="Y11" s="828"/>
      <c r="Z11" s="828"/>
      <c r="AA11" s="828"/>
      <c r="AB11" s="828"/>
      <c r="AC11" s="829"/>
    </row>
    <row r="12" spans="1:29" ht="40.5" customHeight="1" x14ac:dyDescent="0.25">
      <c r="B12" s="825" t="s">
        <v>605</v>
      </c>
      <c r="C12" s="826"/>
      <c r="D12" s="826"/>
      <c r="E12" s="826"/>
      <c r="F12" s="474" t="str">
        <f>'Imp-Aus'!E95</f>
        <v>T2 - 2024</v>
      </c>
      <c r="G12" s="475" t="str">
        <f>'Imp-Aus'!F95</f>
        <v>T3 - 2024</v>
      </c>
      <c r="H12" s="475" t="str">
        <f>'Imp-Aus'!G95</f>
        <v>T4 - 2024</v>
      </c>
      <c r="I12" s="475" t="str">
        <f>'Imp-Aus'!H95</f>
        <v>T1 - 2025</v>
      </c>
      <c r="J12" s="475" t="str">
        <f>'Imp-Aus'!I95</f>
        <v>T2 - 2025</v>
      </c>
      <c r="K12" s="475" t="str">
        <f>'Imp-Aus'!J95</f>
        <v>T3 - 2025</v>
      </c>
      <c r="L12" s="475" t="str">
        <f>'Imp-Aus'!K95</f>
        <v>T4 - 2025</v>
      </c>
      <c r="M12" s="475" t="str">
        <f>'Imp-Aus'!L95</f>
        <v>T1 - 2026</v>
      </c>
      <c r="N12" s="474" t="str">
        <f t="shared" ref="N12:AC12" si="2">F12</f>
        <v>T2 - 2024</v>
      </c>
      <c r="O12" s="475" t="str">
        <f t="shared" si="2"/>
        <v>T3 - 2024</v>
      </c>
      <c r="P12" s="475" t="str">
        <f t="shared" si="2"/>
        <v>T4 - 2024</v>
      </c>
      <c r="Q12" s="475" t="str">
        <f t="shared" si="2"/>
        <v>T1 - 2025</v>
      </c>
      <c r="R12" s="475" t="str">
        <f t="shared" si="2"/>
        <v>T2 - 2025</v>
      </c>
      <c r="S12" s="475" t="str">
        <f t="shared" si="2"/>
        <v>T3 - 2025</v>
      </c>
      <c r="T12" s="475" t="str">
        <f t="shared" si="2"/>
        <v>T4 - 2025</v>
      </c>
      <c r="U12" s="475" t="str">
        <f t="shared" si="2"/>
        <v>T1 - 2026</v>
      </c>
      <c r="V12" s="476" t="str">
        <f t="shared" si="2"/>
        <v>T2 - 2024</v>
      </c>
      <c r="W12" s="477" t="str">
        <f t="shared" si="2"/>
        <v>T3 - 2024</v>
      </c>
      <c r="X12" s="477" t="str">
        <f t="shared" si="2"/>
        <v>T4 - 2024</v>
      </c>
      <c r="Y12" s="477" t="str">
        <f t="shared" si="2"/>
        <v>T1 - 2025</v>
      </c>
      <c r="Z12" s="477" t="str">
        <f t="shared" si="2"/>
        <v>T2 - 2025</v>
      </c>
      <c r="AA12" s="477" t="str">
        <f t="shared" si="2"/>
        <v>T3 - 2025</v>
      </c>
      <c r="AB12" s="477" t="str">
        <f t="shared" si="2"/>
        <v>T4 - 2025</v>
      </c>
      <c r="AC12" s="478" t="str">
        <f t="shared" si="2"/>
        <v>T1 - 2026</v>
      </c>
    </row>
    <row r="13" spans="1:29" ht="15.75" thickBot="1" x14ac:dyDescent="0.3">
      <c r="B13" s="479" t="s">
        <v>550</v>
      </c>
      <c r="C13" s="480" t="s">
        <v>551</v>
      </c>
      <c r="D13" s="480" t="s">
        <v>575</v>
      </c>
      <c r="E13" s="480" t="s">
        <v>606</v>
      </c>
      <c r="F13" s="481" t="s">
        <v>577</v>
      </c>
      <c r="G13" s="482" t="s">
        <v>577</v>
      </c>
      <c r="H13" s="482" t="s">
        <v>577</v>
      </c>
      <c r="I13" s="482" t="s">
        <v>577</v>
      </c>
      <c r="J13" s="482" t="s">
        <v>577</v>
      </c>
      <c r="K13" s="482" t="s">
        <v>577</v>
      </c>
      <c r="L13" s="482" t="s">
        <v>577</v>
      </c>
      <c r="M13" s="482" t="s">
        <v>577</v>
      </c>
      <c r="N13" s="481" t="s">
        <v>578</v>
      </c>
      <c r="O13" s="482" t="s">
        <v>578</v>
      </c>
      <c r="P13" s="482" t="str">
        <f>N13</f>
        <v>VAL/1000</v>
      </c>
      <c r="Q13" s="482" t="str">
        <f t="shared" ref="Q13:U13" si="3">P13</f>
        <v>VAL/1000</v>
      </c>
      <c r="R13" s="482" t="str">
        <f t="shared" si="3"/>
        <v>VAL/1000</v>
      </c>
      <c r="S13" s="482" t="str">
        <f t="shared" si="3"/>
        <v>VAL/1000</v>
      </c>
      <c r="T13" s="482" t="str">
        <f t="shared" si="3"/>
        <v>VAL/1000</v>
      </c>
      <c r="U13" s="482" t="str">
        <f t="shared" si="3"/>
        <v>VAL/1000</v>
      </c>
      <c r="V13" s="483" t="s">
        <v>579</v>
      </c>
      <c r="W13" s="484" t="s">
        <v>579</v>
      </c>
      <c r="X13" s="484" t="s">
        <v>579</v>
      </c>
      <c r="Y13" s="484" t="s">
        <v>579</v>
      </c>
      <c r="Z13" s="484" t="s">
        <v>579</v>
      </c>
      <c r="AA13" s="484" t="s">
        <v>579</v>
      </c>
      <c r="AB13" s="484" t="s">
        <v>579</v>
      </c>
      <c r="AC13" s="485" t="s">
        <v>579</v>
      </c>
    </row>
    <row r="14" spans="1:29" x14ac:dyDescent="0.25">
      <c r="A14" s="486" t="str">
        <f>IF(SUM(F14:U29)&gt;=0.01,"Copy","Don't")</f>
        <v>Don't</v>
      </c>
      <c r="B14" s="466" t="s">
        <v>552</v>
      </c>
      <c r="C14" s="487">
        <f>'Imp-Aus'!$G$22</f>
        <v>0</v>
      </c>
      <c r="D14" s="487" t="s">
        <v>607</v>
      </c>
      <c r="E14" s="488" t="s">
        <v>608</v>
      </c>
      <c r="F14" s="489">
        <f>'Imp-Aus'!E$98</f>
        <v>0</v>
      </c>
      <c r="G14" s="430">
        <f>'Imp-Aus'!F$98</f>
        <v>0</v>
      </c>
      <c r="H14" s="430">
        <f>'Imp-Aus'!G$98</f>
        <v>0</v>
      </c>
      <c r="I14" s="430">
        <f>'Imp-Aus'!H$98</f>
        <v>0</v>
      </c>
      <c r="J14" s="430">
        <f>'Imp-Aus'!I$98</f>
        <v>0</v>
      </c>
      <c r="K14" s="430">
        <f>'Imp-Aus'!J$98</f>
        <v>0</v>
      </c>
      <c r="L14" s="430">
        <f>'Imp-Aus'!K$98</f>
        <v>0</v>
      </c>
      <c r="M14" s="430">
        <f>'Imp-Aus'!L$98</f>
        <v>0</v>
      </c>
      <c r="N14" s="489">
        <f>'Imp-Aus'!E$99/1000</f>
        <v>0</v>
      </c>
      <c r="O14" s="430">
        <f>'Imp-Aus'!F$99/1000</f>
        <v>0</v>
      </c>
      <c r="P14" s="430">
        <f>'Imp-Aus'!G$99/1000</f>
        <v>0</v>
      </c>
      <c r="Q14" s="430">
        <f>'Imp-Aus'!H$99/1000</f>
        <v>0</v>
      </c>
      <c r="R14" s="430">
        <f>'Imp-Aus'!I$99/1000</f>
        <v>0</v>
      </c>
      <c r="S14" s="430">
        <f>'Imp-Aus'!J$99/1000</f>
        <v>0</v>
      </c>
      <c r="T14" s="430">
        <f>'Imp-Aus'!K$99/1000</f>
        <v>0</v>
      </c>
      <c r="U14" s="430">
        <f>'Imp-Aus'!L$99/1000</f>
        <v>0</v>
      </c>
      <c r="V14" s="490">
        <f>(IF(ISERROR(N14/F14),0,N14/F14))*1000</f>
        <v>0</v>
      </c>
      <c r="W14" s="491">
        <f t="shared" ref="W14:AC29" si="4">(IF(ISERROR(O14/G14),0,O14/G14))*1000</f>
        <v>0</v>
      </c>
      <c r="X14" s="491">
        <f t="shared" si="4"/>
        <v>0</v>
      </c>
      <c r="Y14" s="491">
        <f t="shared" si="4"/>
        <v>0</v>
      </c>
      <c r="Z14" s="491">
        <f t="shared" si="4"/>
        <v>0</v>
      </c>
      <c r="AA14" s="491">
        <f t="shared" si="4"/>
        <v>0</v>
      </c>
      <c r="AB14" s="491">
        <f t="shared" si="4"/>
        <v>0</v>
      </c>
      <c r="AC14" s="492">
        <f t="shared" si="4"/>
        <v>0</v>
      </c>
    </row>
    <row r="15" spans="1:29" x14ac:dyDescent="0.25">
      <c r="A15" s="493" t="str">
        <f>A14</f>
        <v>Don't</v>
      </c>
      <c r="B15" s="461" t="str">
        <f>B14</f>
        <v>AUT</v>
      </c>
      <c r="C15">
        <f>C14</f>
        <v>0</v>
      </c>
      <c r="D15" t="str">
        <f>D14</f>
        <v>IMP</v>
      </c>
      <c r="E15" s="462" t="s">
        <v>609</v>
      </c>
      <c r="F15" s="489">
        <f>'Imp-Aus'!E$103</f>
        <v>0</v>
      </c>
      <c r="G15" s="430">
        <f>'Imp-Aus'!F$103</f>
        <v>0</v>
      </c>
      <c r="H15" s="430">
        <f>'Imp-Aus'!G$103</f>
        <v>0</v>
      </c>
      <c r="I15" s="430">
        <f>'Imp-Aus'!H$103</f>
        <v>0</v>
      </c>
      <c r="J15" s="430">
        <f>'Imp-Aus'!I$103</f>
        <v>0</v>
      </c>
      <c r="K15" s="430">
        <f>'Imp-Aus'!J$103</f>
        <v>0</v>
      </c>
      <c r="L15" s="430">
        <f>'Imp-Aus'!K$103</f>
        <v>0</v>
      </c>
      <c r="M15" s="430">
        <f>'Imp-Aus'!L$103</f>
        <v>0</v>
      </c>
      <c r="N15" s="489">
        <f>'Imp-Aus'!E$104/1000</f>
        <v>0</v>
      </c>
      <c r="O15" s="430">
        <f>'Imp-Aus'!F$104/1000</f>
        <v>0</v>
      </c>
      <c r="P15" s="430">
        <f>'Imp-Aus'!G$104/1000</f>
        <v>0</v>
      </c>
      <c r="Q15" s="430">
        <f>'Imp-Aus'!H$104/1000</f>
        <v>0</v>
      </c>
      <c r="R15" s="430">
        <f>'Imp-Aus'!I$104/1000</f>
        <v>0</v>
      </c>
      <c r="S15" s="430">
        <f>'Imp-Aus'!J$104/1000</f>
        <v>0</v>
      </c>
      <c r="T15" s="430">
        <f>'Imp-Aus'!K$104/1000</f>
        <v>0</v>
      </c>
      <c r="U15" s="430">
        <f>'Imp-Aus'!L$104/1000</f>
        <v>0</v>
      </c>
      <c r="V15" s="490">
        <f t="shared" ref="V15:AC59" si="5">(IF(ISERROR(N15/F15),0,N15/F15))*1000</f>
        <v>0</v>
      </c>
      <c r="W15" s="491">
        <f t="shared" si="4"/>
        <v>0</v>
      </c>
      <c r="X15" s="491">
        <f t="shared" si="4"/>
        <v>0</v>
      </c>
      <c r="Y15" s="491">
        <f t="shared" si="4"/>
        <v>0</v>
      </c>
      <c r="Z15" s="491">
        <f t="shared" si="4"/>
        <v>0</v>
      </c>
      <c r="AA15" s="491">
        <f t="shared" si="4"/>
        <v>0</v>
      </c>
      <c r="AB15" s="491">
        <f t="shared" si="4"/>
        <v>0</v>
      </c>
      <c r="AC15" s="492">
        <f t="shared" si="4"/>
        <v>0</v>
      </c>
    </row>
    <row r="16" spans="1:29" x14ac:dyDescent="0.25">
      <c r="A16" s="493" t="str">
        <f t="shared" ref="A16:D33" si="6">A15</f>
        <v>Don't</v>
      </c>
      <c r="B16" s="461" t="str">
        <f t="shared" si="6"/>
        <v>AUT</v>
      </c>
      <c r="C16">
        <f t="shared" si="6"/>
        <v>0</v>
      </c>
      <c r="D16" t="str">
        <f t="shared" si="6"/>
        <v>IMP</v>
      </c>
      <c r="E16" s="462" t="s">
        <v>610</v>
      </c>
      <c r="F16" s="489">
        <f>'Imp-Aus'!E$108</f>
        <v>0</v>
      </c>
      <c r="G16" s="430">
        <f>'Imp-Aus'!F$108</f>
        <v>0</v>
      </c>
      <c r="H16" s="430">
        <f>'Imp-Aus'!G$108</f>
        <v>0</v>
      </c>
      <c r="I16" s="430">
        <f>'Imp-Aus'!H$108</f>
        <v>0</v>
      </c>
      <c r="J16" s="430">
        <f>'Imp-Aus'!I$108</f>
        <v>0</v>
      </c>
      <c r="K16" s="430">
        <f>'Imp-Aus'!J$108</f>
        <v>0</v>
      </c>
      <c r="L16" s="430">
        <f>'Imp-Aus'!K$108</f>
        <v>0</v>
      </c>
      <c r="M16" s="430">
        <f>'Imp-Aus'!L$108</f>
        <v>0</v>
      </c>
      <c r="N16" s="489">
        <f>'Imp-Aus'!E$109/1000</f>
        <v>0</v>
      </c>
      <c r="O16" s="430">
        <f>'Imp-Aus'!F$109/1000</f>
        <v>0</v>
      </c>
      <c r="P16" s="430">
        <f>'Imp-Aus'!G$109/1000</f>
        <v>0</v>
      </c>
      <c r="Q16" s="430">
        <f>'Imp-Aus'!H$109/1000</f>
        <v>0</v>
      </c>
      <c r="R16" s="430">
        <f>'Imp-Aus'!I$109/1000</f>
        <v>0</v>
      </c>
      <c r="S16" s="430">
        <f>'Imp-Aus'!J$109/1000</f>
        <v>0</v>
      </c>
      <c r="T16" s="430">
        <f>'Imp-Aus'!K$109/1000</f>
        <v>0</v>
      </c>
      <c r="U16" s="430">
        <f>'Imp-Aus'!L$109/1000</f>
        <v>0</v>
      </c>
      <c r="V16" s="490">
        <f t="shared" si="5"/>
        <v>0</v>
      </c>
      <c r="W16" s="491">
        <f t="shared" si="4"/>
        <v>0</v>
      </c>
      <c r="X16" s="491">
        <f t="shared" si="4"/>
        <v>0</v>
      </c>
      <c r="Y16" s="491">
        <f t="shared" si="4"/>
        <v>0</v>
      </c>
      <c r="Z16" s="491">
        <f t="shared" si="4"/>
        <v>0</v>
      </c>
      <c r="AA16" s="491">
        <f t="shared" si="4"/>
        <v>0</v>
      </c>
      <c r="AB16" s="491">
        <f t="shared" si="4"/>
        <v>0</v>
      </c>
      <c r="AC16" s="492">
        <f t="shared" si="4"/>
        <v>0</v>
      </c>
    </row>
    <row r="17" spans="1:29" x14ac:dyDescent="0.25">
      <c r="A17" s="493" t="str">
        <f t="shared" si="6"/>
        <v>Don't</v>
      </c>
      <c r="B17" s="461" t="str">
        <f t="shared" si="6"/>
        <v>AUT</v>
      </c>
      <c r="C17">
        <f t="shared" si="6"/>
        <v>0</v>
      </c>
      <c r="D17" t="str">
        <f t="shared" si="6"/>
        <v>IMP</v>
      </c>
      <c r="E17" s="462" t="s">
        <v>611</v>
      </c>
      <c r="F17" s="489">
        <f>'Imp-Aus'!E$113</f>
        <v>0</v>
      </c>
      <c r="G17" s="430">
        <f>'Imp-Aus'!F$113</f>
        <v>0</v>
      </c>
      <c r="H17" s="430">
        <f>'Imp-Aus'!G$113</f>
        <v>0</v>
      </c>
      <c r="I17" s="430">
        <f>'Imp-Aus'!H$113</f>
        <v>0</v>
      </c>
      <c r="J17" s="430">
        <f>'Imp-Aus'!I$113</f>
        <v>0</v>
      </c>
      <c r="K17" s="430">
        <f>'Imp-Aus'!J$113</f>
        <v>0</v>
      </c>
      <c r="L17" s="430">
        <f>'Imp-Aus'!K$113</f>
        <v>0</v>
      </c>
      <c r="M17" s="430">
        <f>'Imp-Aus'!L$113</f>
        <v>0</v>
      </c>
      <c r="N17" s="489">
        <f>'Imp-Aus'!E$114/1000</f>
        <v>0</v>
      </c>
      <c r="O17" s="430">
        <f>'Imp-Aus'!F$114/1000</f>
        <v>0</v>
      </c>
      <c r="P17" s="430">
        <f>'Imp-Aus'!G$114/1000</f>
        <v>0</v>
      </c>
      <c r="Q17" s="430">
        <f>'Imp-Aus'!H$114/1000</f>
        <v>0</v>
      </c>
      <c r="R17" s="430">
        <f>'Imp-Aus'!I$114/1000</f>
        <v>0</v>
      </c>
      <c r="S17" s="430">
        <f>'Imp-Aus'!J$114/1000</f>
        <v>0</v>
      </c>
      <c r="T17" s="430">
        <f>'Imp-Aus'!K$114/1000</f>
        <v>0</v>
      </c>
      <c r="U17" s="430">
        <f>'Imp-Aus'!L$114/1000</f>
        <v>0</v>
      </c>
      <c r="V17" s="490">
        <f t="shared" si="5"/>
        <v>0</v>
      </c>
      <c r="W17" s="491">
        <f t="shared" si="4"/>
        <v>0</v>
      </c>
      <c r="X17" s="491">
        <f t="shared" si="4"/>
        <v>0</v>
      </c>
      <c r="Y17" s="491">
        <f t="shared" si="4"/>
        <v>0</v>
      </c>
      <c r="Z17" s="491">
        <f t="shared" si="4"/>
        <v>0</v>
      </c>
      <c r="AA17" s="491">
        <f t="shared" si="4"/>
        <v>0</v>
      </c>
      <c r="AB17" s="491">
        <f t="shared" si="4"/>
        <v>0</v>
      </c>
      <c r="AC17" s="492">
        <f t="shared" si="4"/>
        <v>0</v>
      </c>
    </row>
    <row r="18" spans="1:29" x14ac:dyDescent="0.25">
      <c r="A18" s="493" t="str">
        <f t="shared" si="6"/>
        <v>Don't</v>
      </c>
      <c r="B18" s="461" t="str">
        <f t="shared" si="6"/>
        <v>AUT</v>
      </c>
      <c r="C18">
        <f t="shared" si="6"/>
        <v>0</v>
      </c>
      <c r="D18" t="str">
        <f t="shared" si="6"/>
        <v>IMP</v>
      </c>
      <c r="E18" s="462" t="s">
        <v>612</v>
      </c>
      <c r="F18" s="489">
        <f>'Imp-Aus'!E$118</f>
        <v>0</v>
      </c>
      <c r="G18" s="430">
        <f>'Imp-Aus'!F$118</f>
        <v>0</v>
      </c>
      <c r="H18" s="430">
        <f>'Imp-Aus'!G$118</f>
        <v>0</v>
      </c>
      <c r="I18" s="430">
        <f>'Imp-Aus'!H$118</f>
        <v>0</v>
      </c>
      <c r="J18" s="430">
        <f>'Imp-Aus'!I$118</f>
        <v>0</v>
      </c>
      <c r="K18" s="430">
        <f>'Imp-Aus'!J$118</f>
        <v>0</v>
      </c>
      <c r="L18" s="430">
        <f>'Imp-Aus'!K$118</f>
        <v>0</v>
      </c>
      <c r="M18" s="430">
        <f>'Imp-Aus'!L$118</f>
        <v>0</v>
      </c>
      <c r="N18" s="489">
        <f>'Imp-Aus'!E$119/1000</f>
        <v>0</v>
      </c>
      <c r="O18" s="430">
        <f>'Imp-Aus'!F$119/1000</f>
        <v>0</v>
      </c>
      <c r="P18" s="430">
        <f>'Imp-Aus'!G$119/1000</f>
        <v>0</v>
      </c>
      <c r="Q18" s="430">
        <f>'Imp-Aus'!H$119/1000</f>
        <v>0</v>
      </c>
      <c r="R18" s="430">
        <f>'Imp-Aus'!I$119/1000</f>
        <v>0</v>
      </c>
      <c r="S18" s="430">
        <f>'Imp-Aus'!J$119/1000</f>
        <v>0</v>
      </c>
      <c r="T18" s="430">
        <f>'Imp-Aus'!K$119/1000</f>
        <v>0</v>
      </c>
      <c r="U18" s="430">
        <f>'Imp-Aus'!L$119/1000</f>
        <v>0</v>
      </c>
      <c r="V18" s="490">
        <f t="shared" si="5"/>
        <v>0</v>
      </c>
      <c r="W18" s="491">
        <f t="shared" si="4"/>
        <v>0</v>
      </c>
      <c r="X18" s="491">
        <f t="shared" si="4"/>
        <v>0</v>
      </c>
      <c r="Y18" s="491">
        <f t="shared" si="4"/>
        <v>0</v>
      </c>
      <c r="Z18" s="491">
        <f t="shared" si="4"/>
        <v>0</v>
      </c>
      <c r="AA18" s="491">
        <f t="shared" si="4"/>
        <v>0</v>
      </c>
      <c r="AB18" s="491">
        <f t="shared" si="4"/>
        <v>0</v>
      </c>
      <c r="AC18" s="492">
        <f t="shared" si="4"/>
        <v>0</v>
      </c>
    </row>
    <row r="19" spans="1:29" x14ac:dyDescent="0.25">
      <c r="A19" s="493" t="str">
        <f t="shared" si="6"/>
        <v>Don't</v>
      </c>
      <c r="B19" s="461" t="str">
        <f t="shared" si="6"/>
        <v>AUT</v>
      </c>
      <c r="C19">
        <f t="shared" si="6"/>
        <v>0</v>
      </c>
      <c r="D19" t="str">
        <f t="shared" si="6"/>
        <v>IMP</v>
      </c>
      <c r="E19" s="462" t="s">
        <v>613</v>
      </c>
      <c r="F19" s="489">
        <f>'Imp-Aus'!E$123</f>
        <v>0</v>
      </c>
      <c r="G19" s="430">
        <f>'Imp-Aus'!F$123</f>
        <v>0</v>
      </c>
      <c r="H19" s="430">
        <f>'Imp-Aus'!G$123</f>
        <v>0</v>
      </c>
      <c r="I19" s="430">
        <f>'Imp-Aus'!H$123</f>
        <v>0</v>
      </c>
      <c r="J19" s="430">
        <f>'Imp-Aus'!I$123</f>
        <v>0</v>
      </c>
      <c r="K19" s="430">
        <f>'Imp-Aus'!J$123</f>
        <v>0</v>
      </c>
      <c r="L19" s="430">
        <f>'Imp-Aus'!K$123</f>
        <v>0</v>
      </c>
      <c r="M19" s="430">
        <f>'Imp-Aus'!L$123</f>
        <v>0</v>
      </c>
      <c r="N19" s="489">
        <f>'Imp-Aus'!E$124/1000</f>
        <v>0</v>
      </c>
      <c r="O19" s="430">
        <f>'Imp-Aus'!F$124/1000</f>
        <v>0</v>
      </c>
      <c r="P19" s="430">
        <f>'Imp-Aus'!G$124/1000</f>
        <v>0</v>
      </c>
      <c r="Q19" s="430">
        <f>'Imp-Aus'!H$124/1000</f>
        <v>0</v>
      </c>
      <c r="R19" s="430">
        <f>'Imp-Aus'!I$124/1000</f>
        <v>0</v>
      </c>
      <c r="S19" s="430">
        <f>'Imp-Aus'!J$124/1000</f>
        <v>0</v>
      </c>
      <c r="T19" s="430">
        <f>'Imp-Aus'!K$124/1000</f>
        <v>0</v>
      </c>
      <c r="U19" s="430">
        <f>'Imp-Aus'!L$124/1000</f>
        <v>0</v>
      </c>
      <c r="V19" s="490">
        <f t="shared" si="5"/>
        <v>0</v>
      </c>
      <c r="W19" s="491">
        <f t="shared" si="4"/>
        <v>0</v>
      </c>
      <c r="X19" s="491">
        <f t="shared" si="4"/>
        <v>0</v>
      </c>
      <c r="Y19" s="491">
        <f t="shared" si="4"/>
        <v>0</v>
      </c>
      <c r="Z19" s="491">
        <f t="shared" si="4"/>
        <v>0</v>
      </c>
      <c r="AA19" s="491">
        <f t="shared" si="4"/>
        <v>0</v>
      </c>
      <c r="AB19" s="491">
        <f t="shared" si="4"/>
        <v>0</v>
      </c>
      <c r="AC19" s="492">
        <f t="shared" si="4"/>
        <v>0</v>
      </c>
    </row>
    <row r="20" spans="1:29" x14ac:dyDescent="0.25">
      <c r="A20" s="493" t="str">
        <f t="shared" si="6"/>
        <v>Don't</v>
      </c>
      <c r="B20" s="461" t="str">
        <f t="shared" si="6"/>
        <v>AUT</v>
      </c>
      <c r="C20">
        <f t="shared" si="6"/>
        <v>0</v>
      </c>
      <c r="D20" t="str">
        <f t="shared" si="6"/>
        <v>IMP</v>
      </c>
      <c r="E20" s="462" t="s">
        <v>614</v>
      </c>
      <c r="F20" s="489">
        <f>'Imp-Aus'!E$128</f>
        <v>0</v>
      </c>
      <c r="G20" s="430">
        <f>'Imp-Aus'!F$128</f>
        <v>0</v>
      </c>
      <c r="H20" s="430">
        <f>'Imp-Aus'!G$128</f>
        <v>0</v>
      </c>
      <c r="I20" s="430">
        <f>'Imp-Aus'!H$128</f>
        <v>0</v>
      </c>
      <c r="J20" s="430">
        <f>'Imp-Aus'!I$128</f>
        <v>0</v>
      </c>
      <c r="K20" s="430">
        <f>'Imp-Aus'!J$128</f>
        <v>0</v>
      </c>
      <c r="L20" s="430">
        <f>'Imp-Aus'!K$128</f>
        <v>0</v>
      </c>
      <c r="M20" s="430">
        <f>'Imp-Aus'!L$128</f>
        <v>0</v>
      </c>
      <c r="N20" s="489">
        <f>'Imp-Aus'!E$129/1000</f>
        <v>0</v>
      </c>
      <c r="O20" s="430">
        <f>'Imp-Aus'!F$129/1000</f>
        <v>0</v>
      </c>
      <c r="P20" s="430">
        <f>'Imp-Aus'!G$129/1000</f>
        <v>0</v>
      </c>
      <c r="Q20" s="430">
        <f>'Imp-Aus'!H$129/1000</f>
        <v>0</v>
      </c>
      <c r="R20" s="430">
        <f>'Imp-Aus'!I$129/1000</f>
        <v>0</v>
      </c>
      <c r="S20" s="430">
        <f>'Imp-Aus'!J$129/1000</f>
        <v>0</v>
      </c>
      <c r="T20" s="430">
        <f>'Imp-Aus'!K$129/1000</f>
        <v>0</v>
      </c>
      <c r="U20" s="430">
        <f>'Imp-Aus'!L$129/1000</f>
        <v>0</v>
      </c>
      <c r="V20" s="490">
        <f t="shared" si="5"/>
        <v>0</v>
      </c>
      <c r="W20" s="491">
        <f t="shared" si="4"/>
        <v>0</v>
      </c>
      <c r="X20" s="491">
        <f t="shared" si="4"/>
        <v>0</v>
      </c>
      <c r="Y20" s="491">
        <f t="shared" si="4"/>
        <v>0</v>
      </c>
      <c r="Z20" s="491">
        <f t="shared" si="4"/>
        <v>0</v>
      </c>
      <c r="AA20" s="491">
        <f t="shared" si="4"/>
        <v>0</v>
      </c>
      <c r="AB20" s="491">
        <f t="shared" si="4"/>
        <v>0</v>
      </c>
      <c r="AC20" s="492">
        <f t="shared" si="4"/>
        <v>0</v>
      </c>
    </row>
    <row r="21" spans="1:29" x14ac:dyDescent="0.25">
      <c r="A21" s="493" t="str">
        <f t="shared" si="6"/>
        <v>Don't</v>
      </c>
      <c r="B21" s="461" t="str">
        <f t="shared" si="6"/>
        <v>AUT</v>
      </c>
      <c r="C21">
        <f t="shared" si="6"/>
        <v>0</v>
      </c>
      <c r="D21" t="str">
        <f t="shared" si="6"/>
        <v>IMP</v>
      </c>
      <c r="E21" s="462" t="s">
        <v>615</v>
      </c>
      <c r="F21" s="489">
        <f>'Imp-Aus'!E$133</f>
        <v>0</v>
      </c>
      <c r="G21" s="430">
        <f>'Imp-Aus'!F$133</f>
        <v>0</v>
      </c>
      <c r="H21" s="430">
        <f>'Imp-Aus'!G$133</f>
        <v>0</v>
      </c>
      <c r="I21" s="430">
        <f>'Imp-Aus'!H$133</f>
        <v>0</v>
      </c>
      <c r="J21" s="430">
        <f>'Imp-Aus'!I$133</f>
        <v>0</v>
      </c>
      <c r="K21" s="430">
        <f>'Imp-Aus'!J$133</f>
        <v>0</v>
      </c>
      <c r="L21" s="430">
        <f>'Imp-Aus'!K$133</f>
        <v>0</v>
      </c>
      <c r="M21" s="430">
        <f>'Imp-Aus'!L$133</f>
        <v>0</v>
      </c>
      <c r="N21" s="489">
        <f>'Imp-Aus'!E$134/1000</f>
        <v>0</v>
      </c>
      <c r="O21" s="430">
        <f>'Imp-Aus'!F$134/1000</f>
        <v>0</v>
      </c>
      <c r="P21" s="430">
        <f>'Imp-Aus'!G$134/1000</f>
        <v>0</v>
      </c>
      <c r="Q21" s="430">
        <f>'Imp-Aus'!H$134/1000</f>
        <v>0</v>
      </c>
      <c r="R21" s="430">
        <f>'Imp-Aus'!I$134/1000</f>
        <v>0</v>
      </c>
      <c r="S21" s="430">
        <f>'Imp-Aus'!J$134/1000</f>
        <v>0</v>
      </c>
      <c r="T21" s="430">
        <f>'Imp-Aus'!K$134/1000</f>
        <v>0</v>
      </c>
      <c r="U21" s="430">
        <f>'Imp-Aus'!L$134/1000</f>
        <v>0</v>
      </c>
      <c r="V21" s="490">
        <f t="shared" si="5"/>
        <v>0</v>
      </c>
      <c r="W21" s="491">
        <f t="shared" si="4"/>
        <v>0</v>
      </c>
      <c r="X21" s="491">
        <f t="shared" si="4"/>
        <v>0</v>
      </c>
      <c r="Y21" s="491">
        <f t="shared" si="4"/>
        <v>0</v>
      </c>
      <c r="Z21" s="491">
        <f t="shared" si="4"/>
        <v>0</v>
      </c>
      <c r="AA21" s="491">
        <f t="shared" si="4"/>
        <v>0</v>
      </c>
      <c r="AB21" s="491">
        <f t="shared" si="4"/>
        <v>0</v>
      </c>
      <c r="AC21" s="492">
        <f t="shared" si="4"/>
        <v>0</v>
      </c>
    </row>
    <row r="22" spans="1:29" x14ac:dyDescent="0.25">
      <c r="A22" s="493" t="str">
        <f t="shared" si="6"/>
        <v>Don't</v>
      </c>
      <c r="B22" s="461" t="str">
        <f t="shared" si="6"/>
        <v>AUT</v>
      </c>
      <c r="C22">
        <f t="shared" si="6"/>
        <v>0</v>
      </c>
      <c r="D22" t="str">
        <f t="shared" si="6"/>
        <v>IMP</v>
      </c>
      <c r="E22" s="462" t="s">
        <v>616</v>
      </c>
      <c r="F22" s="489">
        <f>'Imp-Aus'!E$138</f>
        <v>0</v>
      </c>
      <c r="G22" s="430">
        <f>'Imp-Aus'!F$138</f>
        <v>0</v>
      </c>
      <c r="H22" s="430">
        <f>'Imp-Aus'!G$138</f>
        <v>0</v>
      </c>
      <c r="I22" s="430">
        <f>'Imp-Aus'!H$138</f>
        <v>0</v>
      </c>
      <c r="J22" s="430">
        <f>'Imp-Aus'!I$138</f>
        <v>0</v>
      </c>
      <c r="K22" s="430">
        <f>'Imp-Aus'!J$138</f>
        <v>0</v>
      </c>
      <c r="L22" s="430">
        <f>'Imp-Aus'!K$138</f>
        <v>0</v>
      </c>
      <c r="M22" s="430">
        <f>'Imp-Aus'!L$138</f>
        <v>0</v>
      </c>
      <c r="N22" s="489">
        <f>'Imp-Aus'!E$139/1000</f>
        <v>0</v>
      </c>
      <c r="O22" s="430">
        <f>'Imp-Aus'!F$139/1000</f>
        <v>0</v>
      </c>
      <c r="P22" s="430">
        <f>'Imp-Aus'!G$139/1000</f>
        <v>0</v>
      </c>
      <c r="Q22" s="430">
        <f>'Imp-Aus'!H$139/1000</f>
        <v>0</v>
      </c>
      <c r="R22" s="430">
        <f>'Imp-Aus'!I$139/1000</f>
        <v>0</v>
      </c>
      <c r="S22" s="430">
        <f>'Imp-Aus'!J$139/1000</f>
        <v>0</v>
      </c>
      <c r="T22" s="430">
        <f>'Imp-Aus'!K$139/1000</f>
        <v>0</v>
      </c>
      <c r="U22" s="430">
        <f>'Imp-Aus'!L$139/1000</f>
        <v>0</v>
      </c>
      <c r="V22" s="490">
        <f t="shared" si="5"/>
        <v>0</v>
      </c>
      <c r="W22" s="491">
        <f t="shared" si="4"/>
        <v>0</v>
      </c>
      <c r="X22" s="491">
        <f t="shared" si="4"/>
        <v>0</v>
      </c>
      <c r="Y22" s="491">
        <f t="shared" si="4"/>
        <v>0</v>
      </c>
      <c r="Z22" s="491">
        <f t="shared" si="4"/>
        <v>0</v>
      </c>
      <c r="AA22" s="491">
        <f t="shared" si="4"/>
        <v>0</v>
      </c>
      <c r="AB22" s="491">
        <f t="shared" si="4"/>
        <v>0</v>
      </c>
      <c r="AC22" s="492">
        <f t="shared" si="4"/>
        <v>0</v>
      </c>
    </row>
    <row r="23" spans="1:29" x14ac:dyDescent="0.25">
      <c r="A23" s="493" t="str">
        <f t="shared" si="6"/>
        <v>Don't</v>
      </c>
      <c r="B23" s="461" t="str">
        <f t="shared" si="6"/>
        <v>AUT</v>
      </c>
      <c r="C23">
        <f t="shared" si="6"/>
        <v>0</v>
      </c>
      <c r="D23" t="str">
        <f t="shared" si="6"/>
        <v>IMP</v>
      </c>
      <c r="E23" s="462" t="s">
        <v>617</v>
      </c>
      <c r="F23" s="489">
        <f>'Imp-Aus'!E$143</f>
        <v>0</v>
      </c>
      <c r="G23" s="430">
        <f>'Imp-Aus'!F$143</f>
        <v>0</v>
      </c>
      <c r="H23" s="430">
        <f>'Imp-Aus'!G$143</f>
        <v>0</v>
      </c>
      <c r="I23" s="430">
        <f>'Imp-Aus'!H$143</f>
        <v>0</v>
      </c>
      <c r="J23" s="430">
        <f>'Imp-Aus'!I$143</f>
        <v>0</v>
      </c>
      <c r="K23" s="430">
        <f>'Imp-Aus'!J$143</f>
        <v>0</v>
      </c>
      <c r="L23" s="430">
        <f>'Imp-Aus'!K$143</f>
        <v>0</v>
      </c>
      <c r="M23" s="430">
        <f>'Imp-Aus'!L$143</f>
        <v>0</v>
      </c>
      <c r="N23" s="489">
        <f>'Imp-Aus'!E$144/1000</f>
        <v>0</v>
      </c>
      <c r="O23" s="430">
        <f>'Imp-Aus'!F$144/1000</f>
        <v>0</v>
      </c>
      <c r="P23" s="430">
        <f>'Imp-Aus'!G$144/1000</f>
        <v>0</v>
      </c>
      <c r="Q23" s="430">
        <f>'Imp-Aus'!H$144/1000</f>
        <v>0</v>
      </c>
      <c r="R23" s="430">
        <f>'Imp-Aus'!I$144/1000</f>
        <v>0</v>
      </c>
      <c r="S23" s="430">
        <f>'Imp-Aus'!J$144/1000</f>
        <v>0</v>
      </c>
      <c r="T23" s="430">
        <f>'Imp-Aus'!K$144/1000</f>
        <v>0</v>
      </c>
      <c r="U23" s="430">
        <f>'Imp-Aus'!L$144/1000</f>
        <v>0</v>
      </c>
      <c r="V23" s="490">
        <f t="shared" si="5"/>
        <v>0</v>
      </c>
      <c r="W23" s="491">
        <f t="shared" si="4"/>
        <v>0</v>
      </c>
      <c r="X23" s="491">
        <f t="shared" si="4"/>
        <v>0</v>
      </c>
      <c r="Y23" s="491">
        <f t="shared" si="4"/>
        <v>0</v>
      </c>
      <c r="Z23" s="491">
        <f t="shared" si="4"/>
        <v>0</v>
      </c>
      <c r="AA23" s="491">
        <f t="shared" si="4"/>
        <v>0</v>
      </c>
      <c r="AB23" s="491">
        <f t="shared" si="4"/>
        <v>0</v>
      </c>
      <c r="AC23" s="492">
        <f t="shared" si="4"/>
        <v>0</v>
      </c>
    </row>
    <row r="24" spans="1:29" x14ac:dyDescent="0.25">
      <c r="A24" s="493" t="str">
        <f t="shared" si="6"/>
        <v>Don't</v>
      </c>
      <c r="B24" s="461" t="str">
        <f>B23</f>
        <v>AUT</v>
      </c>
      <c r="C24">
        <f>C23</f>
        <v>0</v>
      </c>
      <c r="D24" t="s">
        <v>618</v>
      </c>
      <c r="E24" s="462" t="str">
        <f t="shared" ref="E24:E29" si="7">E14</f>
        <v>BMP 1</v>
      </c>
      <c r="F24" s="489">
        <f>'Imp-Aus'!E$169</f>
        <v>0</v>
      </c>
      <c r="G24" s="430">
        <f>'Imp-Aus'!F$169</f>
        <v>0</v>
      </c>
      <c r="H24" s="430">
        <f>'Imp-Aus'!G$169</f>
        <v>0</v>
      </c>
      <c r="I24" s="430">
        <f>'Imp-Aus'!H$169</f>
        <v>0</v>
      </c>
      <c r="J24" s="430">
        <f>'Imp-Aus'!I$169</f>
        <v>0</v>
      </c>
      <c r="K24" s="430">
        <f>'Imp-Aus'!J$169</f>
        <v>0</v>
      </c>
      <c r="L24" s="430">
        <f>'Imp-Aus'!K$169</f>
        <v>0</v>
      </c>
      <c r="M24" s="430">
        <f>'Imp-Aus'!L$169</f>
        <v>0</v>
      </c>
      <c r="N24" s="489">
        <f>'Imp-Aus'!E$170/1000</f>
        <v>0</v>
      </c>
      <c r="O24" s="430">
        <f>'Imp-Aus'!F$170/1000</f>
        <v>0</v>
      </c>
      <c r="P24" s="430">
        <f>'Imp-Aus'!G$170/1000</f>
        <v>0</v>
      </c>
      <c r="Q24" s="430">
        <f>'Imp-Aus'!H$170/1000</f>
        <v>0</v>
      </c>
      <c r="R24" s="430">
        <f>'Imp-Aus'!I$170/1000</f>
        <v>0</v>
      </c>
      <c r="S24" s="430">
        <f>'Imp-Aus'!J$170/1000</f>
        <v>0</v>
      </c>
      <c r="T24" s="430">
        <f>'Imp-Aus'!K$170/1000</f>
        <v>0</v>
      </c>
      <c r="U24" s="430">
        <f>'Imp-Aus'!L$170/1000</f>
        <v>0</v>
      </c>
      <c r="V24" s="490">
        <f t="shared" si="5"/>
        <v>0</v>
      </c>
      <c r="W24" s="491">
        <f t="shared" si="4"/>
        <v>0</v>
      </c>
      <c r="X24" s="491">
        <f t="shared" si="4"/>
        <v>0</v>
      </c>
      <c r="Y24" s="491">
        <f t="shared" si="4"/>
        <v>0</v>
      </c>
      <c r="Z24" s="491">
        <f t="shared" si="4"/>
        <v>0</v>
      </c>
      <c r="AA24" s="491">
        <f t="shared" si="4"/>
        <v>0</v>
      </c>
      <c r="AB24" s="491">
        <f t="shared" si="4"/>
        <v>0</v>
      </c>
      <c r="AC24" s="492">
        <f t="shared" si="4"/>
        <v>0</v>
      </c>
    </row>
    <row r="25" spans="1:29" x14ac:dyDescent="0.25">
      <c r="A25" s="493" t="str">
        <f t="shared" si="6"/>
        <v>Don't</v>
      </c>
      <c r="B25" s="461" t="str">
        <f>B24</f>
        <v>AUT</v>
      </c>
      <c r="C25">
        <f t="shared" ref="C25:D29" si="8">C24</f>
        <v>0</v>
      </c>
      <c r="D25" t="str">
        <f>D24</f>
        <v>IMP SLS</v>
      </c>
      <c r="E25" s="462" t="str">
        <f t="shared" si="7"/>
        <v>BMP 2</v>
      </c>
      <c r="F25" s="489">
        <f>'Imp-Aus'!E$174</f>
        <v>0</v>
      </c>
      <c r="G25" s="430">
        <f>'Imp-Aus'!F$174</f>
        <v>0</v>
      </c>
      <c r="H25" s="430">
        <f>'Imp-Aus'!G$174</f>
        <v>0</v>
      </c>
      <c r="I25" s="430">
        <f>'Imp-Aus'!H$174</f>
        <v>0</v>
      </c>
      <c r="J25" s="430">
        <f>'Imp-Aus'!I$174</f>
        <v>0</v>
      </c>
      <c r="K25" s="430">
        <f>'Imp-Aus'!J$174</f>
        <v>0</v>
      </c>
      <c r="L25" s="430">
        <f>'Imp-Aus'!K$174</f>
        <v>0</v>
      </c>
      <c r="M25" s="430">
        <f>'Imp-Aus'!L$174</f>
        <v>0</v>
      </c>
      <c r="N25" s="489">
        <f>'Imp-Aus'!E$175/1000</f>
        <v>0</v>
      </c>
      <c r="O25" s="430">
        <f>'Imp-Aus'!F$175/1000</f>
        <v>0</v>
      </c>
      <c r="P25" s="430">
        <f>'Imp-Aus'!G$175/1000</f>
        <v>0</v>
      </c>
      <c r="Q25" s="430">
        <f>'Imp-Aus'!H$175/1000</f>
        <v>0</v>
      </c>
      <c r="R25" s="430">
        <f>'Imp-Aus'!I$175/1000</f>
        <v>0</v>
      </c>
      <c r="S25" s="430">
        <f>'Imp-Aus'!J$175/1000</f>
        <v>0</v>
      </c>
      <c r="T25" s="430">
        <f>'Imp-Aus'!K$175/1000</f>
        <v>0</v>
      </c>
      <c r="U25" s="430">
        <f>'Imp-Aus'!L$175/1000</f>
        <v>0</v>
      </c>
      <c r="V25" s="490">
        <f t="shared" si="5"/>
        <v>0</v>
      </c>
      <c r="W25" s="491">
        <f t="shared" si="4"/>
        <v>0</v>
      </c>
      <c r="X25" s="491">
        <f t="shared" si="4"/>
        <v>0</v>
      </c>
      <c r="Y25" s="491">
        <f t="shared" si="4"/>
        <v>0</v>
      </c>
      <c r="Z25" s="491">
        <f t="shared" si="4"/>
        <v>0</v>
      </c>
      <c r="AA25" s="491">
        <f t="shared" si="4"/>
        <v>0</v>
      </c>
      <c r="AB25" s="491">
        <f t="shared" si="4"/>
        <v>0</v>
      </c>
      <c r="AC25" s="492">
        <f t="shared" si="4"/>
        <v>0</v>
      </c>
    </row>
    <row r="26" spans="1:29" x14ac:dyDescent="0.25">
      <c r="A26" s="493" t="str">
        <f t="shared" si="6"/>
        <v>Don't</v>
      </c>
      <c r="B26" s="461" t="str">
        <f>B25</f>
        <v>AUT</v>
      </c>
      <c r="C26">
        <f t="shared" si="8"/>
        <v>0</v>
      </c>
      <c r="D26" t="str">
        <f t="shared" si="8"/>
        <v>IMP SLS</v>
      </c>
      <c r="E26" s="462" t="str">
        <f t="shared" si="7"/>
        <v>BMP 3</v>
      </c>
      <c r="F26" s="489">
        <f>'Imp-Aus'!E$179</f>
        <v>0</v>
      </c>
      <c r="G26" s="430">
        <f>'Imp-Aus'!F$179</f>
        <v>0</v>
      </c>
      <c r="H26" s="430">
        <f>'Imp-Aus'!G$179</f>
        <v>0</v>
      </c>
      <c r="I26" s="430">
        <f>'Imp-Aus'!H$179</f>
        <v>0</v>
      </c>
      <c r="J26" s="430">
        <f>'Imp-Aus'!I$179</f>
        <v>0</v>
      </c>
      <c r="K26" s="430">
        <f>'Imp-Aus'!J$179</f>
        <v>0</v>
      </c>
      <c r="L26" s="430">
        <f>'Imp-Aus'!K$179</f>
        <v>0</v>
      </c>
      <c r="M26" s="430">
        <f>'Imp-Aus'!L$179</f>
        <v>0</v>
      </c>
      <c r="N26" s="489">
        <f>'Imp-Aus'!E$180/1000</f>
        <v>0</v>
      </c>
      <c r="O26" s="430">
        <f>'Imp-Aus'!F$180/1000</f>
        <v>0</v>
      </c>
      <c r="P26" s="430">
        <f>'Imp-Aus'!G$180/1000</f>
        <v>0</v>
      </c>
      <c r="Q26" s="430">
        <f>'Imp-Aus'!H$180/1000</f>
        <v>0</v>
      </c>
      <c r="R26" s="430">
        <f>'Imp-Aus'!I$180/1000</f>
        <v>0</v>
      </c>
      <c r="S26" s="430">
        <f>'Imp-Aus'!J$180/1000</f>
        <v>0</v>
      </c>
      <c r="T26" s="430">
        <f>'Imp-Aus'!K$180/1000</f>
        <v>0</v>
      </c>
      <c r="U26" s="430">
        <f>'Imp-Aus'!L$180/1000</f>
        <v>0</v>
      </c>
      <c r="V26" s="490">
        <f t="shared" si="5"/>
        <v>0</v>
      </c>
      <c r="W26" s="491">
        <f t="shared" si="4"/>
        <v>0</v>
      </c>
      <c r="X26" s="491">
        <f t="shared" si="4"/>
        <v>0</v>
      </c>
      <c r="Y26" s="491">
        <f t="shared" si="4"/>
        <v>0</v>
      </c>
      <c r="Z26" s="491">
        <f t="shared" si="4"/>
        <v>0</v>
      </c>
      <c r="AA26" s="491">
        <f t="shared" si="4"/>
        <v>0</v>
      </c>
      <c r="AB26" s="491">
        <f t="shared" si="4"/>
        <v>0</v>
      </c>
      <c r="AC26" s="492">
        <f t="shared" si="4"/>
        <v>0</v>
      </c>
    </row>
    <row r="27" spans="1:29" x14ac:dyDescent="0.25">
      <c r="A27" s="493" t="str">
        <f t="shared" si="6"/>
        <v>Don't</v>
      </c>
      <c r="B27" s="461" t="str">
        <f>B26</f>
        <v>AUT</v>
      </c>
      <c r="C27">
        <f t="shared" si="8"/>
        <v>0</v>
      </c>
      <c r="D27" t="str">
        <f t="shared" si="8"/>
        <v>IMP SLS</v>
      </c>
      <c r="E27" s="462" t="str">
        <f t="shared" si="7"/>
        <v>BMP 4</v>
      </c>
      <c r="F27" s="489">
        <f>'Imp-Aus'!E$184</f>
        <v>0</v>
      </c>
      <c r="G27" s="430">
        <f>'Imp-Aus'!F$184</f>
        <v>0</v>
      </c>
      <c r="H27" s="430">
        <f>'Imp-Aus'!G$184</f>
        <v>0</v>
      </c>
      <c r="I27" s="430">
        <f>'Imp-Aus'!H$184</f>
        <v>0</v>
      </c>
      <c r="J27" s="430">
        <f>'Imp-Aus'!I$184</f>
        <v>0</v>
      </c>
      <c r="K27" s="430">
        <f>'Imp-Aus'!J$184</f>
        <v>0</v>
      </c>
      <c r="L27" s="430">
        <f>'Imp-Aus'!K$184</f>
        <v>0</v>
      </c>
      <c r="M27" s="430">
        <f>'Imp-Aus'!L$184</f>
        <v>0</v>
      </c>
      <c r="N27" s="489">
        <f>'Imp-Aus'!E$185/1000</f>
        <v>0</v>
      </c>
      <c r="O27" s="430">
        <f>'Imp-Aus'!F$185/1000</f>
        <v>0</v>
      </c>
      <c r="P27" s="430">
        <f>'Imp-Aus'!G$185/1000</f>
        <v>0</v>
      </c>
      <c r="Q27" s="430">
        <f>'Imp-Aus'!H$185/1000</f>
        <v>0</v>
      </c>
      <c r="R27" s="430">
        <f>'Imp-Aus'!I$185/1000</f>
        <v>0</v>
      </c>
      <c r="S27" s="430">
        <f>'Imp-Aus'!J$185/1000</f>
        <v>0</v>
      </c>
      <c r="T27" s="430">
        <f>'Imp-Aus'!K$185/1000</f>
        <v>0</v>
      </c>
      <c r="U27" s="430">
        <f>'Imp-Aus'!L$185/1000</f>
        <v>0</v>
      </c>
      <c r="V27" s="490">
        <f t="shared" si="5"/>
        <v>0</v>
      </c>
      <c r="W27" s="491">
        <f t="shared" si="4"/>
        <v>0</v>
      </c>
      <c r="X27" s="491">
        <f t="shared" si="4"/>
        <v>0</v>
      </c>
      <c r="Y27" s="491">
        <f t="shared" si="4"/>
        <v>0</v>
      </c>
      <c r="Z27" s="491">
        <f t="shared" si="4"/>
        <v>0</v>
      </c>
      <c r="AA27" s="491">
        <f t="shared" si="4"/>
        <v>0</v>
      </c>
      <c r="AB27" s="491">
        <f t="shared" si="4"/>
        <v>0</v>
      </c>
      <c r="AC27" s="492">
        <f t="shared" si="4"/>
        <v>0</v>
      </c>
    </row>
    <row r="28" spans="1:29" x14ac:dyDescent="0.25">
      <c r="A28" s="493" t="str">
        <f t="shared" si="6"/>
        <v>Don't</v>
      </c>
      <c r="B28" s="461" t="str">
        <f>B27</f>
        <v>AUT</v>
      </c>
      <c r="C28">
        <f t="shared" si="8"/>
        <v>0</v>
      </c>
      <c r="D28" t="str">
        <f t="shared" si="8"/>
        <v>IMP SLS</v>
      </c>
      <c r="E28" s="462" t="str">
        <f t="shared" si="7"/>
        <v>BMP 5</v>
      </c>
      <c r="F28" s="489">
        <f>'Imp-Aus'!E$189</f>
        <v>0</v>
      </c>
      <c r="G28" s="430">
        <f>'Imp-Aus'!F$189</f>
        <v>0</v>
      </c>
      <c r="H28" s="430">
        <f>'Imp-Aus'!G$189</f>
        <v>0</v>
      </c>
      <c r="I28" s="430">
        <f>'Imp-Aus'!H$189</f>
        <v>0</v>
      </c>
      <c r="J28" s="430">
        <f>'Imp-Aus'!I$189</f>
        <v>0</v>
      </c>
      <c r="K28" s="430">
        <f>'Imp-Aus'!J$189</f>
        <v>0</v>
      </c>
      <c r="L28" s="430">
        <f>'Imp-Aus'!K$189</f>
        <v>0</v>
      </c>
      <c r="M28" s="430">
        <f>'Imp-Aus'!L$189</f>
        <v>0</v>
      </c>
      <c r="N28" s="489">
        <f>'Imp-Aus'!E$190/1000</f>
        <v>0</v>
      </c>
      <c r="O28" s="430">
        <f>'Imp-Aus'!F$190/1000</f>
        <v>0</v>
      </c>
      <c r="P28" s="430">
        <f>'Imp-Aus'!G$190/1000</f>
        <v>0</v>
      </c>
      <c r="Q28" s="430">
        <f>'Imp-Aus'!H$190/1000</f>
        <v>0</v>
      </c>
      <c r="R28" s="430">
        <f>'Imp-Aus'!I$190/1000</f>
        <v>0</v>
      </c>
      <c r="S28" s="430">
        <f>'Imp-Aus'!J$190/1000</f>
        <v>0</v>
      </c>
      <c r="T28" s="430">
        <f>'Imp-Aus'!K$190/1000</f>
        <v>0</v>
      </c>
      <c r="U28" s="430">
        <f>'Imp-Aus'!L$190/1000</f>
        <v>0</v>
      </c>
      <c r="V28" s="490">
        <f t="shared" si="5"/>
        <v>0</v>
      </c>
      <c r="W28" s="491">
        <f t="shared" si="4"/>
        <v>0</v>
      </c>
      <c r="X28" s="491">
        <f t="shared" si="4"/>
        <v>0</v>
      </c>
      <c r="Y28" s="491">
        <f t="shared" si="4"/>
        <v>0</v>
      </c>
      <c r="Z28" s="491">
        <f t="shared" si="4"/>
        <v>0</v>
      </c>
      <c r="AA28" s="491">
        <f t="shared" si="4"/>
        <v>0</v>
      </c>
      <c r="AB28" s="491">
        <f t="shared" si="4"/>
        <v>0</v>
      </c>
      <c r="AC28" s="492">
        <f t="shared" si="4"/>
        <v>0</v>
      </c>
    </row>
    <row r="29" spans="1:29" x14ac:dyDescent="0.25">
      <c r="A29" s="493" t="str">
        <f t="shared" si="6"/>
        <v>Don't</v>
      </c>
      <c r="B29" s="461" t="str">
        <f>B28</f>
        <v>AUT</v>
      </c>
      <c r="C29">
        <f t="shared" si="8"/>
        <v>0</v>
      </c>
      <c r="D29" t="str">
        <f t="shared" si="8"/>
        <v>IMP SLS</v>
      </c>
      <c r="E29" s="462" t="str">
        <f t="shared" si="7"/>
        <v>BMP 6</v>
      </c>
      <c r="F29" s="489">
        <f>'Imp-Aus'!E$194</f>
        <v>0</v>
      </c>
      <c r="G29" s="430">
        <f>'Imp-Aus'!F$194</f>
        <v>0</v>
      </c>
      <c r="H29" s="430">
        <f>'Imp-Aus'!G$194</f>
        <v>0</v>
      </c>
      <c r="I29" s="430">
        <f>'Imp-Aus'!H$194</f>
        <v>0</v>
      </c>
      <c r="J29" s="430">
        <f>'Imp-Aus'!I$194</f>
        <v>0</v>
      </c>
      <c r="K29" s="430">
        <f>'Imp-Aus'!J$194</f>
        <v>0</v>
      </c>
      <c r="L29" s="430">
        <f>'Imp-Aus'!K$194</f>
        <v>0</v>
      </c>
      <c r="M29" s="430">
        <f>'Imp-Aus'!L$194</f>
        <v>0</v>
      </c>
      <c r="N29" s="489">
        <f>'Imp-Aus'!E$195/1000</f>
        <v>0</v>
      </c>
      <c r="O29" s="430">
        <f>'Imp-Aus'!F$195/1000</f>
        <v>0</v>
      </c>
      <c r="P29" s="430">
        <f>'Imp-Aus'!G$195/1000</f>
        <v>0</v>
      </c>
      <c r="Q29" s="430">
        <f>'Imp-Aus'!H$195/1000</f>
        <v>0</v>
      </c>
      <c r="R29" s="430">
        <f>'Imp-Aus'!I$195/1000</f>
        <v>0</v>
      </c>
      <c r="S29" s="430">
        <f>'Imp-Aus'!J$195/1000</f>
        <v>0</v>
      </c>
      <c r="T29" s="430">
        <f>'Imp-Aus'!K$195/1000</f>
        <v>0</v>
      </c>
      <c r="U29" s="430">
        <f>'Imp-Aus'!L$195/1000</f>
        <v>0</v>
      </c>
      <c r="V29" s="490">
        <f t="shared" si="5"/>
        <v>0</v>
      </c>
      <c r="W29" s="491">
        <f t="shared" si="4"/>
        <v>0</v>
      </c>
      <c r="X29" s="491">
        <f t="shared" si="4"/>
        <v>0</v>
      </c>
      <c r="Y29" s="491">
        <f t="shared" si="4"/>
        <v>0</v>
      </c>
      <c r="Z29" s="491">
        <f t="shared" si="4"/>
        <v>0</v>
      </c>
      <c r="AA29" s="491">
        <f t="shared" si="4"/>
        <v>0</v>
      </c>
      <c r="AB29" s="491">
        <f t="shared" si="4"/>
        <v>0</v>
      </c>
      <c r="AC29" s="492">
        <f t="shared" si="4"/>
        <v>0</v>
      </c>
    </row>
    <row r="30" spans="1:29" x14ac:dyDescent="0.25">
      <c r="A30" s="493" t="str">
        <f t="shared" si="6"/>
        <v>Don't</v>
      </c>
      <c r="B30" s="461" t="str">
        <f t="shared" si="6"/>
        <v>AUT</v>
      </c>
      <c r="C30">
        <f t="shared" si="6"/>
        <v>0</v>
      </c>
      <c r="D30" t="str">
        <f t="shared" si="6"/>
        <v>IMP SLS</v>
      </c>
      <c r="E30" s="462" t="str">
        <f t="shared" ref="E30:E33" si="9">E20</f>
        <v>BMP 7</v>
      </c>
      <c r="F30" s="489">
        <f>'Imp-Aus'!E$199</f>
        <v>0</v>
      </c>
      <c r="G30" s="430">
        <f>'Imp-Aus'!F$199</f>
        <v>0</v>
      </c>
      <c r="H30" s="430">
        <f>'Imp-Aus'!G$199</f>
        <v>0</v>
      </c>
      <c r="I30" s="430">
        <f>'Imp-Aus'!H$199</f>
        <v>0</v>
      </c>
      <c r="J30" s="430">
        <f>'Imp-Aus'!I$199</f>
        <v>0</v>
      </c>
      <c r="K30" s="430">
        <f>'Imp-Aus'!J$199</f>
        <v>0</v>
      </c>
      <c r="L30" s="430">
        <f>'Imp-Aus'!K$199</f>
        <v>0</v>
      </c>
      <c r="M30" s="430">
        <f>'Imp-Aus'!L$199</f>
        <v>0</v>
      </c>
      <c r="N30" s="489">
        <f>'Imp-Aus'!E$200/1000</f>
        <v>0</v>
      </c>
      <c r="O30" s="430">
        <f>'Imp-Aus'!F$200/1000</f>
        <v>0</v>
      </c>
      <c r="P30" s="430">
        <f>'Imp-Aus'!G$200/1000</f>
        <v>0</v>
      </c>
      <c r="Q30" s="430">
        <f>'Imp-Aus'!H$200/1000</f>
        <v>0</v>
      </c>
      <c r="R30" s="430">
        <f>'Imp-Aus'!I$200/1000</f>
        <v>0</v>
      </c>
      <c r="S30" s="430">
        <f>'Imp-Aus'!J$200/1000</f>
        <v>0</v>
      </c>
      <c r="T30" s="430">
        <f>'Imp-Aus'!K$200/1000</f>
        <v>0</v>
      </c>
      <c r="U30" s="430">
        <f>'Imp-Aus'!L$200/1000</f>
        <v>0</v>
      </c>
      <c r="V30" s="490">
        <f t="shared" si="5"/>
        <v>0</v>
      </c>
      <c r="W30" s="491">
        <f t="shared" si="5"/>
        <v>0</v>
      </c>
      <c r="X30" s="491">
        <f t="shared" si="5"/>
        <v>0</v>
      </c>
      <c r="Y30" s="491">
        <f t="shared" si="5"/>
        <v>0</v>
      </c>
      <c r="Z30" s="491">
        <f t="shared" si="5"/>
        <v>0</v>
      </c>
      <c r="AA30" s="491">
        <f t="shared" si="5"/>
        <v>0</v>
      </c>
      <c r="AB30" s="491">
        <f t="shared" si="5"/>
        <v>0</v>
      </c>
      <c r="AC30" s="492">
        <f t="shared" si="5"/>
        <v>0</v>
      </c>
    </row>
    <row r="31" spans="1:29" x14ac:dyDescent="0.25">
      <c r="A31" s="493" t="str">
        <f t="shared" si="6"/>
        <v>Don't</v>
      </c>
      <c r="B31" s="461" t="str">
        <f t="shared" si="6"/>
        <v>AUT</v>
      </c>
      <c r="C31">
        <f t="shared" si="6"/>
        <v>0</v>
      </c>
      <c r="D31" t="str">
        <f t="shared" si="6"/>
        <v>IMP SLS</v>
      </c>
      <c r="E31" s="462" t="str">
        <f t="shared" si="9"/>
        <v>BMP 8</v>
      </c>
      <c r="F31" s="489">
        <f>'Imp-Aus'!E$204</f>
        <v>0</v>
      </c>
      <c r="G31" s="430">
        <f>'Imp-Aus'!F$204</f>
        <v>0</v>
      </c>
      <c r="H31" s="430">
        <f>'Imp-Aus'!G$204</f>
        <v>0</v>
      </c>
      <c r="I31" s="430">
        <f>'Imp-Aus'!H$204</f>
        <v>0</v>
      </c>
      <c r="J31" s="430">
        <f>'Imp-Aus'!I$204</f>
        <v>0</v>
      </c>
      <c r="K31" s="430">
        <f>'Imp-Aus'!J$204</f>
        <v>0</v>
      </c>
      <c r="L31" s="430">
        <f>'Imp-Aus'!K$204</f>
        <v>0</v>
      </c>
      <c r="M31" s="430">
        <f>'Imp-Aus'!L$204</f>
        <v>0</v>
      </c>
      <c r="N31" s="489">
        <f>'Imp-Aus'!E$205/1000</f>
        <v>0</v>
      </c>
      <c r="O31" s="430">
        <f>'Imp-Aus'!F$205/1000</f>
        <v>0</v>
      </c>
      <c r="P31" s="430">
        <f>'Imp-Aus'!G$205/1000</f>
        <v>0</v>
      </c>
      <c r="Q31" s="430">
        <f>'Imp-Aus'!H$205/1000</f>
        <v>0</v>
      </c>
      <c r="R31" s="430">
        <f>'Imp-Aus'!I$205/1000</f>
        <v>0</v>
      </c>
      <c r="S31" s="430">
        <f>'Imp-Aus'!J$205/1000</f>
        <v>0</v>
      </c>
      <c r="T31" s="430">
        <f>'Imp-Aus'!K$205/1000</f>
        <v>0</v>
      </c>
      <c r="U31" s="430">
        <f>'Imp-Aus'!L$205/1000</f>
        <v>0</v>
      </c>
      <c r="V31" s="490">
        <f t="shared" si="5"/>
        <v>0</v>
      </c>
      <c r="W31" s="491">
        <f t="shared" si="5"/>
        <v>0</v>
      </c>
      <c r="X31" s="491">
        <f t="shared" si="5"/>
        <v>0</v>
      </c>
      <c r="Y31" s="491">
        <f t="shared" si="5"/>
        <v>0</v>
      </c>
      <c r="Z31" s="491">
        <f t="shared" si="5"/>
        <v>0</v>
      </c>
      <c r="AA31" s="491">
        <f t="shared" si="5"/>
        <v>0</v>
      </c>
      <c r="AB31" s="491">
        <f t="shared" si="5"/>
        <v>0</v>
      </c>
      <c r="AC31" s="492">
        <f t="shared" si="5"/>
        <v>0</v>
      </c>
    </row>
    <row r="32" spans="1:29" x14ac:dyDescent="0.25">
      <c r="A32" s="493" t="str">
        <f t="shared" si="6"/>
        <v>Don't</v>
      </c>
      <c r="B32" s="461" t="str">
        <f t="shared" si="6"/>
        <v>AUT</v>
      </c>
      <c r="C32">
        <f t="shared" si="6"/>
        <v>0</v>
      </c>
      <c r="D32" t="str">
        <f t="shared" si="6"/>
        <v>IMP SLS</v>
      </c>
      <c r="E32" s="462" t="str">
        <f t="shared" si="9"/>
        <v>BMP 9</v>
      </c>
      <c r="F32" s="489">
        <f>'Imp-Aus'!E$209</f>
        <v>0</v>
      </c>
      <c r="G32" s="430">
        <f>'Imp-Aus'!F$209</f>
        <v>0</v>
      </c>
      <c r="H32" s="430">
        <f>'Imp-Aus'!G$209</f>
        <v>0</v>
      </c>
      <c r="I32" s="430">
        <f>'Imp-Aus'!H$209</f>
        <v>0</v>
      </c>
      <c r="J32" s="430">
        <f>'Imp-Aus'!I$209</f>
        <v>0</v>
      </c>
      <c r="K32" s="430">
        <f>'Imp-Aus'!J$209</f>
        <v>0</v>
      </c>
      <c r="L32" s="430">
        <f>'Imp-Aus'!K$209</f>
        <v>0</v>
      </c>
      <c r="M32" s="430">
        <f>'Imp-Aus'!L$209</f>
        <v>0</v>
      </c>
      <c r="N32" s="489">
        <f>'Imp-Aus'!E$210/1000</f>
        <v>0</v>
      </c>
      <c r="O32" s="430">
        <f>'Imp-Aus'!F$210/1000</f>
        <v>0</v>
      </c>
      <c r="P32" s="430">
        <f>'Imp-Aus'!G$210/1000</f>
        <v>0</v>
      </c>
      <c r="Q32" s="430">
        <f>'Imp-Aus'!H$210/1000</f>
        <v>0</v>
      </c>
      <c r="R32" s="430">
        <f>'Imp-Aus'!I$210/1000</f>
        <v>0</v>
      </c>
      <c r="S32" s="430">
        <f>'Imp-Aus'!J$210/1000</f>
        <v>0</v>
      </c>
      <c r="T32" s="430">
        <f>'Imp-Aus'!K$210/1000</f>
        <v>0</v>
      </c>
      <c r="U32" s="430">
        <f>'Imp-Aus'!L$210/1000</f>
        <v>0</v>
      </c>
      <c r="V32" s="490">
        <f t="shared" si="5"/>
        <v>0</v>
      </c>
      <c r="W32" s="491">
        <f t="shared" si="5"/>
        <v>0</v>
      </c>
      <c r="X32" s="491">
        <f t="shared" si="5"/>
        <v>0</v>
      </c>
      <c r="Y32" s="491">
        <f t="shared" si="5"/>
        <v>0</v>
      </c>
      <c r="Z32" s="491">
        <f t="shared" si="5"/>
        <v>0</v>
      </c>
      <c r="AA32" s="491">
        <f t="shared" si="5"/>
        <v>0</v>
      </c>
      <c r="AB32" s="491">
        <f t="shared" si="5"/>
        <v>0</v>
      </c>
      <c r="AC32" s="492">
        <f t="shared" si="5"/>
        <v>0</v>
      </c>
    </row>
    <row r="33" spans="1:29" x14ac:dyDescent="0.25">
      <c r="A33" s="493" t="str">
        <f t="shared" si="6"/>
        <v>Don't</v>
      </c>
      <c r="B33" s="461" t="str">
        <f t="shared" si="6"/>
        <v>AUT</v>
      </c>
      <c r="C33">
        <f t="shared" si="6"/>
        <v>0</v>
      </c>
      <c r="D33" t="str">
        <f t="shared" si="6"/>
        <v>IMP SLS</v>
      </c>
      <c r="E33" s="462" t="str">
        <f t="shared" si="9"/>
        <v>BMP 10</v>
      </c>
      <c r="F33" s="489">
        <f>'Imp-Aus'!E$214</f>
        <v>0</v>
      </c>
      <c r="G33" s="430">
        <f>'Imp-Aus'!F$214</f>
        <v>0</v>
      </c>
      <c r="H33" s="430">
        <f>'Imp-Aus'!G$214</f>
        <v>0</v>
      </c>
      <c r="I33" s="430">
        <f>'Imp-Aus'!H$214</f>
        <v>0</v>
      </c>
      <c r="J33" s="430">
        <f>'Imp-Aus'!I$214</f>
        <v>0</v>
      </c>
      <c r="K33" s="430">
        <f>'Imp-Aus'!J$214</f>
        <v>0</v>
      </c>
      <c r="L33" s="430">
        <f>'Imp-Aus'!K$214</f>
        <v>0</v>
      </c>
      <c r="M33" s="430">
        <f>'Imp-Aus'!L$214</f>
        <v>0</v>
      </c>
      <c r="N33" s="489">
        <f>'Imp-Aus'!E$215/1000</f>
        <v>0</v>
      </c>
      <c r="O33" s="430">
        <f>'Imp-Aus'!F$215/1000</f>
        <v>0</v>
      </c>
      <c r="P33" s="430">
        <f>'Imp-Aus'!G$215/1000</f>
        <v>0</v>
      </c>
      <c r="Q33" s="430">
        <f>'Imp-Aus'!H$215/1000</f>
        <v>0</v>
      </c>
      <c r="R33" s="430">
        <f>'Imp-Aus'!I$215/1000</f>
        <v>0</v>
      </c>
      <c r="S33" s="430">
        <f>'Imp-Aus'!J$215/1000</f>
        <v>0</v>
      </c>
      <c r="T33" s="430">
        <f>'Imp-Aus'!K$215/1000</f>
        <v>0</v>
      </c>
      <c r="U33" s="430">
        <f>'Imp-Aus'!L$215/1000</f>
        <v>0</v>
      </c>
      <c r="V33" s="490">
        <f t="shared" si="5"/>
        <v>0</v>
      </c>
      <c r="W33" s="491">
        <f t="shared" si="5"/>
        <v>0</v>
      </c>
      <c r="X33" s="491">
        <f t="shared" si="5"/>
        <v>0</v>
      </c>
      <c r="Y33" s="491">
        <f t="shared" si="5"/>
        <v>0</v>
      </c>
      <c r="Z33" s="491">
        <f t="shared" si="5"/>
        <v>0</v>
      </c>
      <c r="AA33" s="491">
        <f t="shared" si="5"/>
        <v>0</v>
      </c>
      <c r="AB33" s="491">
        <f t="shared" si="5"/>
        <v>0</v>
      </c>
      <c r="AC33" s="492">
        <f t="shared" si="5"/>
        <v>0</v>
      </c>
    </row>
    <row r="34" spans="1:29" x14ac:dyDescent="0.25">
      <c r="A34" s="493" t="str">
        <f>IF(SUM(F34:U49)&gt;=0.01,"Copy","Don't")</f>
        <v>Don't</v>
      </c>
      <c r="B34" s="494" t="s">
        <v>552</v>
      </c>
      <c r="C34" s="495">
        <f>'Imp-Aus2'!$G$22</f>
        <v>0</v>
      </c>
      <c r="D34" s="495" t="s">
        <v>607</v>
      </c>
      <c r="E34" s="496" t="s">
        <v>608</v>
      </c>
      <c r="F34" s="489">
        <f>'Imp-Aus2'!E$98</f>
        <v>0</v>
      </c>
      <c r="G34" s="430">
        <f>'Imp-Aus2'!F$98</f>
        <v>0</v>
      </c>
      <c r="H34" s="430">
        <f>'Imp-Aus2'!G$98</f>
        <v>0</v>
      </c>
      <c r="I34" s="430">
        <f>'Imp-Aus2'!H$98</f>
        <v>0</v>
      </c>
      <c r="J34" s="430">
        <f>'Imp-Aus2'!I$98</f>
        <v>0</v>
      </c>
      <c r="K34" s="430">
        <f>'Imp-Aus2'!J$98</f>
        <v>0</v>
      </c>
      <c r="L34" s="430">
        <f>'Imp-Aus2'!K$98</f>
        <v>0</v>
      </c>
      <c r="M34" s="430">
        <f>'Imp-Aus2'!L$98</f>
        <v>0</v>
      </c>
      <c r="N34" s="489">
        <f>'Imp-Aus2'!E$99/1000</f>
        <v>0</v>
      </c>
      <c r="O34" s="430">
        <f>'Imp-Aus2'!F$99/1000</f>
        <v>0</v>
      </c>
      <c r="P34" s="430">
        <f>'Imp-Aus2'!G$99/1000</f>
        <v>0</v>
      </c>
      <c r="Q34" s="430">
        <f>'Imp-Aus2'!H$99/1000</f>
        <v>0</v>
      </c>
      <c r="R34" s="430">
        <f>'Imp-Aus2'!I$99/1000</f>
        <v>0</v>
      </c>
      <c r="S34" s="430">
        <f>'Imp-Aus2'!J$99/1000</f>
        <v>0</v>
      </c>
      <c r="T34" s="430">
        <f>'Imp-Aus2'!K$99/1000</f>
        <v>0</v>
      </c>
      <c r="U34" s="430">
        <f>'Imp-Aus2'!L$99/1000</f>
        <v>0</v>
      </c>
      <c r="V34" s="490">
        <f t="shared" si="5"/>
        <v>0</v>
      </c>
      <c r="W34" s="491">
        <f t="shared" si="5"/>
        <v>0</v>
      </c>
      <c r="X34" s="491">
        <f t="shared" si="5"/>
        <v>0</v>
      </c>
      <c r="Y34" s="491">
        <f t="shared" si="5"/>
        <v>0</v>
      </c>
      <c r="Z34" s="491">
        <f t="shared" si="5"/>
        <v>0</v>
      </c>
      <c r="AA34" s="491">
        <f t="shared" si="5"/>
        <v>0</v>
      </c>
      <c r="AB34" s="491">
        <f t="shared" si="5"/>
        <v>0</v>
      </c>
      <c r="AC34" s="492">
        <f t="shared" si="5"/>
        <v>0</v>
      </c>
    </row>
    <row r="35" spans="1:29" x14ac:dyDescent="0.25">
      <c r="A35" s="493" t="str">
        <f>A34</f>
        <v>Don't</v>
      </c>
      <c r="B35" s="461" t="str">
        <f>B34</f>
        <v>AUT</v>
      </c>
      <c r="C35">
        <f>C34</f>
        <v>0</v>
      </c>
      <c r="D35" t="str">
        <f>D34</f>
        <v>IMP</v>
      </c>
      <c r="E35" s="462" t="s">
        <v>609</v>
      </c>
      <c r="F35" s="489">
        <f>'Imp-Aus2'!E$103</f>
        <v>0</v>
      </c>
      <c r="G35" s="430">
        <f>'Imp-Aus2'!F$103</f>
        <v>0</v>
      </c>
      <c r="H35" s="430">
        <f>'Imp-Aus2'!G$103</f>
        <v>0</v>
      </c>
      <c r="I35" s="430">
        <f>'Imp-Aus2'!H$103</f>
        <v>0</v>
      </c>
      <c r="J35" s="430">
        <f>'Imp-Aus2'!I$103</f>
        <v>0</v>
      </c>
      <c r="K35" s="430">
        <f>'Imp-Aus2'!J$103</f>
        <v>0</v>
      </c>
      <c r="L35" s="430">
        <f>'Imp-Aus2'!K$103</f>
        <v>0</v>
      </c>
      <c r="M35" s="430">
        <f>'Imp-Aus2'!L$103</f>
        <v>0</v>
      </c>
      <c r="N35" s="489">
        <f>'Imp-Aus2'!E$104/1000</f>
        <v>0</v>
      </c>
      <c r="O35" s="430">
        <f>'Imp-Aus2'!F$104/1000</f>
        <v>0</v>
      </c>
      <c r="P35" s="430">
        <f>'Imp-Aus2'!G$104/1000</f>
        <v>0</v>
      </c>
      <c r="Q35" s="430">
        <f>'Imp-Aus2'!H$104/1000</f>
        <v>0</v>
      </c>
      <c r="R35" s="430">
        <f>'Imp-Aus2'!I$104/1000</f>
        <v>0</v>
      </c>
      <c r="S35" s="430">
        <f>'Imp-Aus2'!J$104/1000</f>
        <v>0</v>
      </c>
      <c r="T35" s="430">
        <f>'Imp-Aus2'!K$104/1000</f>
        <v>0</v>
      </c>
      <c r="U35" s="430">
        <f>'Imp-Aus2'!L$104/1000</f>
        <v>0</v>
      </c>
      <c r="V35" s="490">
        <f t="shared" si="5"/>
        <v>0</v>
      </c>
      <c r="W35" s="491">
        <f t="shared" si="5"/>
        <v>0</v>
      </c>
      <c r="X35" s="491">
        <f t="shared" si="5"/>
        <v>0</v>
      </c>
      <c r="Y35" s="491">
        <f t="shared" si="5"/>
        <v>0</v>
      </c>
      <c r="Z35" s="491">
        <f t="shared" si="5"/>
        <v>0</v>
      </c>
      <c r="AA35" s="491">
        <f t="shared" si="5"/>
        <v>0</v>
      </c>
      <c r="AB35" s="491">
        <f t="shared" si="5"/>
        <v>0</v>
      </c>
      <c r="AC35" s="492">
        <f t="shared" si="5"/>
        <v>0</v>
      </c>
    </row>
    <row r="36" spans="1:29" x14ac:dyDescent="0.25">
      <c r="A36" s="493" t="str">
        <f t="shared" ref="A36:D53" si="10">A35</f>
        <v>Don't</v>
      </c>
      <c r="B36" s="461" t="str">
        <f t="shared" si="10"/>
        <v>AUT</v>
      </c>
      <c r="C36">
        <f t="shared" si="10"/>
        <v>0</v>
      </c>
      <c r="D36" t="str">
        <f t="shared" si="10"/>
        <v>IMP</v>
      </c>
      <c r="E36" s="462" t="s">
        <v>610</v>
      </c>
      <c r="F36" s="489">
        <f>'Imp-Aus2'!E$108</f>
        <v>0</v>
      </c>
      <c r="G36" s="430">
        <f>'Imp-Aus2'!F$108</f>
        <v>0</v>
      </c>
      <c r="H36" s="430">
        <f>'Imp-Aus2'!G$108</f>
        <v>0</v>
      </c>
      <c r="I36" s="430">
        <f>'Imp-Aus2'!H$108</f>
        <v>0</v>
      </c>
      <c r="J36" s="430">
        <f>'Imp-Aus2'!I$108</f>
        <v>0</v>
      </c>
      <c r="K36" s="430">
        <f>'Imp-Aus2'!J$108</f>
        <v>0</v>
      </c>
      <c r="L36" s="430">
        <f>'Imp-Aus2'!K$108</f>
        <v>0</v>
      </c>
      <c r="M36" s="430">
        <f>'Imp-Aus2'!L$108</f>
        <v>0</v>
      </c>
      <c r="N36" s="489">
        <f>'Imp-Aus2'!E$109/1000</f>
        <v>0</v>
      </c>
      <c r="O36" s="430">
        <f>'Imp-Aus2'!F$109/1000</f>
        <v>0</v>
      </c>
      <c r="P36" s="430">
        <f>'Imp-Aus2'!G$109/1000</f>
        <v>0</v>
      </c>
      <c r="Q36" s="430">
        <f>'Imp-Aus2'!H$109/1000</f>
        <v>0</v>
      </c>
      <c r="R36" s="430">
        <f>'Imp-Aus2'!I$109/1000</f>
        <v>0</v>
      </c>
      <c r="S36" s="430">
        <f>'Imp-Aus2'!J$109/1000</f>
        <v>0</v>
      </c>
      <c r="T36" s="430">
        <f>'Imp-Aus2'!K$109/1000</f>
        <v>0</v>
      </c>
      <c r="U36" s="430">
        <f>'Imp-Aus2'!L$109/1000</f>
        <v>0</v>
      </c>
      <c r="V36" s="490">
        <f t="shared" si="5"/>
        <v>0</v>
      </c>
      <c r="W36" s="491">
        <f t="shared" si="5"/>
        <v>0</v>
      </c>
      <c r="X36" s="491">
        <f t="shared" si="5"/>
        <v>0</v>
      </c>
      <c r="Y36" s="491">
        <f t="shared" si="5"/>
        <v>0</v>
      </c>
      <c r="Z36" s="491">
        <f t="shared" si="5"/>
        <v>0</v>
      </c>
      <c r="AA36" s="491">
        <f t="shared" si="5"/>
        <v>0</v>
      </c>
      <c r="AB36" s="491">
        <f t="shared" si="5"/>
        <v>0</v>
      </c>
      <c r="AC36" s="492">
        <f t="shared" si="5"/>
        <v>0</v>
      </c>
    </row>
    <row r="37" spans="1:29" x14ac:dyDescent="0.25">
      <c r="A37" s="493" t="str">
        <f t="shared" si="10"/>
        <v>Don't</v>
      </c>
      <c r="B37" s="461" t="str">
        <f t="shared" si="10"/>
        <v>AUT</v>
      </c>
      <c r="C37">
        <f t="shared" si="10"/>
        <v>0</v>
      </c>
      <c r="D37" t="str">
        <f t="shared" si="10"/>
        <v>IMP</v>
      </c>
      <c r="E37" s="462" t="s">
        <v>611</v>
      </c>
      <c r="F37" s="489">
        <f>'Imp-Aus2'!E$113</f>
        <v>0</v>
      </c>
      <c r="G37" s="430">
        <f>'Imp-Aus2'!F$113</f>
        <v>0</v>
      </c>
      <c r="H37" s="430">
        <f>'Imp-Aus2'!G$113</f>
        <v>0</v>
      </c>
      <c r="I37" s="430">
        <f>'Imp-Aus2'!H$113</f>
        <v>0</v>
      </c>
      <c r="J37" s="430">
        <f>'Imp-Aus2'!I$113</f>
        <v>0</v>
      </c>
      <c r="K37" s="430">
        <f>'Imp-Aus2'!J$113</f>
        <v>0</v>
      </c>
      <c r="L37" s="430">
        <f>'Imp-Aus2'!K$113</f>
        <v>0</v>
      </c>
      <c r="M37" s="430">
        <f>'Imp-Aus2'!L$113</f>
        <v>0</v>
      </c>
      <c r="N37" s="489">
        <f>'Imp-Aus2'!E$114/1000</f>
        <v>0</v>
      </c>
      <c r="O37" s="430">
        <f>'Imp-Aus2'!F$114/1000</f>
        <v>0</v>
      </c>
      <c r="P37" s="430">
        <f>'Imp-Aus2'!G$114/1000</f>
        <v>0</v>
      </c>
      <c r="Q37" s="430">
        <f>'Imp-Aus2'!H$114/1000</f>
        <v>0</v>
      </c>
      <c r="R37" s="430">
        <f>'Imp-Aus2'!I$114/1000</f>
        <v>0</v>
      </c>
      <c r="S37" s="430">
        <f>'Imp-Aus2'!J$114/1000</f>
        <v>0</v>
      </c>
      <c r="T37" s="430">
        <f>'Imp-Aus2'!K$114/1000</f>
        <v>0</v>
      </c>
      <c r="U37" s="430">
        <f>'Imp-Aus2'!L$114/1000</f>
        <v>0</v>
      </c>
      <c r="V37" s="490">
        <f t="shared" si="5"/>
        <v>0</v>
      </c>
      <c r="W37" s="491">
        <f t="shared" si="5"/>
        <v>0</v>
      </c>
      <c r="X37" s="491">
        <f t="shared" si="5"/>
        <v>0</v>
      </c>
      <c r="Y37" s="491">
        <f t="shared" si="5"/>
        <v>0</v>
      </c>
      <c r="Z37" s="491">
        <f t="shared" si="5"/>
        <v>0</v>
      </c>
      <c r="AA37" s="491">
        <f t="shared" si="5"/>
        <v>0</v>
      </c>
      <c r="AB37" s="491">
        <f t="shared" si="5"/>
        <v>0</v>
      </c>
      <c r="AC37" s="492">
        <f t="shared" si="5"/>
        <v>0</v>
      </c>
    </row>
    <row r="38" spans="1:29" x14ac:dyDescent="0.25">
      <c r="A38" s="493" t="str">
        <f t="shared" si="10"/>
        <v>Don't</v>
      </c>
      <c r="B38" s="461" t="str">
        <f t="shared" si="10"/>
        <v>AUT</v>
      </c>
      <c r="C38">
        <f t="shared" si="10"/>
        <v>0</v>
      </c>
      <c r="D38" t="str">
        <f t="shared" si="10"/>
        <v>IMP</v>
      </c>
      <c r="E38" s="462" t="s">
        <v>612</v>
      </c>
      <c r="F38" s="489">
        <f>'Imp-Aus2'!E$118</f>
        <v>0</v>
      </c>
      <c r="G38" s="430">
        <f>'Imp-Aus2'!F$118</f>
        <v>0</v>
      </c>
      <c r="H38" s="430">
        <f>'Imp-Aus2'!G$118</f>
        <v>0</v>
      </c>
      <c r="I38" s="430">
        <f>'Imp-Aus2'!H$118</f>
        <v>0</v>
      </c>
      <c r="J38" s="430">
        <f>'Imp-Aus2'!I$118</f>
        <v>0</v>
      </c>
      <c r="K38" s="430">
        <f>'Imp-Aus2'!J$118</f>
        <v>0</v>
      </c>
      <c r="L38" s="430">
        <f>'Imp-Aus2'!K$118</f>
        <v>0</v>
      </c>
      <c r="M38" s="430">
        <f>'Imp-Aus2'!L$118</f>
        <v>0</v>
      </c>
      <c r="N38" s="489">
        <f>'Imp-Aus2'!E$119/1000</f>
        <v>0</v>
      </c>
      <c r="O38" s="430">
        <f>'Imp-Aus2'!F$119/1000</f>
        <v>0</v>
      </c>
      <c r="P38" s="430">
        <f>'Imp-Aus2'!G$119/1000</f>
        <v>0</v>
      </c>
      <c r="Q38" s="430">
        <f>'Imp-Aus2'!H$119/1000</f>
        <v>0</v>
      </c>
      <c r="R38" s="430">
        <f>'Imp-Aus2'!I$119/1000</f>
        <v>0</v>
      </c>
      <c r="S38" s="430">
        <f>'Imp-Aus2'!J$119/1000</f>
        <v>0</v>
      </c>
      <c r="T38" s="430">
        <f>'Imp-Aus2'!K$119/1000</f>
        <v>0</v>
      </c>
      <c r="U38" s="430">
        <f>'Imp-Aus2'!L$119/1000</f>
        <v>0</v>
      </c>
      <c r="V38" s="490">
        <f t="shared" si="5"/>
        <v>0</v>
      </c>
      <c r="W38" s="491">
        <f t="shared" si="5"/>
        <v>0</v>
      </c>
      <c r="X38" s="491">
        <f t="shared" si="5"/>
        <v>0</v>
      </c>
      <c r="Y38" s="491">
        <f t="shared" si="5"/>
        <v>0</v>
      </c>
      <c r="Z38" s="491">
        <f t="shared" si="5"/>
        <v>0</v>
      </c>
      <c r="AA38" s="491">
        <f t="shared" si="5"/>
        <v>0</v>
      </c>
      <c r="AB38" s="491">
        <f t="shared" si="5"/>
        <v>0</v>
      </c>
      <c r="AC38" s="492">
        <f t="shared" si="5"/>
        <v>0</v>
      </c>
    </row>
    <row r="39" spans="1:29" x14ac:dyDescent="0.25">
      <c r="A39" s="493" t="str">
        <f t="shared" si="10"/>
        <v>Don't</v>
      </c>
      <c r="B39" s="461" t="str">
        <f t="shared" si="10"/>
        <v>AUT</v>
      </c>
      <c r="C39">
        <f t="shared" si="10"/>
        <v>0</v>
      </c>
      <c r="D39" t="str">
        <f t="shared" si="10"/>
        <v>IMP</v>
      </c>
      <c r="E39" s="462" t="s">
        <v>613</v>
      </c>
      <c r="F39" s="489">
        <f>'Imp-Aus2'!E$123</f>
        <v>0</v>
      </c>
      <c r="G39" s="430">
        <f>'Imp-Aus2'!F$123</f>
        <v>0</v>
      </c>
      <c r="H39" s="430">
        <f>'Imp-Aus2'!G$123</f>
        <v>0</v>
      </c>
      <c r="I39" s="430">
        <f>'Imp-Aus2'!H$123</f>
        <v>0</v>
      </c>
      <c r="J39" s="430">
        <f>'Imp-Aus2'!I$123</f>
        <v>0</v>
      </c>
      <c r="K39" s="430">
        <f>'Imp-Aus2'!J$123</f>
        <v>0</v>
      </c>
      <c r="L39" s="430">
        <f>'Imp-Aus2'!K$123</f>
        <v>0</v>
      </c>
      <c r="M39" s="430">
        <f>'Imp-Aus2'!L$123</f>
        <v>0</v>
      </c>
      <c r="N39" s="489">
        <f>'Imp-Aus2'!E$124/1000</f>
        <v>0</v>
      </c>
      <c r="O39" s="430">
        <f>'Imp-Aus2'!F$124/1000</f>
        <v>0</v>
      </c>
      <c r="P39" s="430">
        <f>'Imp-Aus2'!G$124/1000</f>
        <v>0</v>
      </c>
      <c r="Q39" s="430">
        <f>'Imp-Aus2'!H$124/1000</f>
        <v>0</v>
      </c>
      <c r="R39" s="430">
        <f>'Imp-Aus2'!I$124/1000</f>
        <v>0</v>
      </c>
      <c r="S39" s="430">
        <f>'Imp-Aus2'!J$124/1000</f>
        <v>0</v>
      </c>
      <c r="T39" s="430">
        <f>'Imp-Aus2'!K$124/1000</f>
        <v>0</v>
      </c>
      <c r="U39" s="430">
        <f>'Imp-Aus2'!L$124/1000</f>
        <v>0</v>
      </c>
      <c r="V39" s="490">
        <f t="shared" si="5"/>
        <v>0</v>
      </c>
      <c r="W39" s="491">
        <f t="shared" si="5"/>
        <v>0</v>
      </c>
      <c r="X39" s="491">
        <f t="shared" si="5"/>
        <v>0</v>
      </c>
      <c r="Y39" s="491">
        <f t="shared" si="5"/>
        <v>0</v>
      </c>
      <c r="Z39" s="491">
        <f t="shared" si="5"/>
        <v>0</v>
      </c>
      <c r="AA39" s="491">
        <f t="shared" si="5"/>
        <v>0</v>
      </c>
      <c r="AB39" s="491">
        <f t="shared" si="5"/>
        <v>0</v>
      </c>
      <c r="AC39" s="492">
        <f t="shared" si="5"/>
        <v>0</v>
      </c>
    </row>
    <row r="40" spans="1:29" x14ac:dyDescent="0.25">
      <c r="A40" s="493" t="str">
        <f t="shared" si="10"/>
        <v>Don't</v>
      </c>
      <c r="B40" s="461" t="str">
        <f t="shared" si="10"/>
        <v>AUT</v>
      </c>
      <c r="C40">
        <f t="shared" si="10"/>
        <v>0</v>
      </c>
      <c r="D40" t="str">
        <f t="shared" si="10"/>
        <v>IMP</v>
      </c>
      <c r="E40" s="462" t="s">
        <v>614</v>
      </c>
      <c r="F40" s="489">
        <f>'Imp-Aus2'!E$128</f>
        <v>0</v>
      </c>
      <c r="G40" s="430">
        <f>'Imp-Aus2'!F$128</f>
        <v>0</v>
      </c>
      <c r="H40" s="430">
        <f>'Imp-Aus2'!G$128</f>
        <v>0</v>
      </c>
      <c r="I40" s="430">
        <f>'Imp-Aus2'!H$128</f>
        <v>0</v>
      </c>
      <c r="J40" s="430">
        <f>'Imp-Aus2'!I$128</f>
        <v>0</v>
      </c>
      <c r="K40" s="430">
        <f>'Imp-Aus2'!J$128</f>
        <v>0</v>
      </c>
      <c r="L40" s="430">
        <f>'Imp-Aus2'!K$128</f>
        <v>0</v>
      </c>
      <c r="M40" s="430">
        <f>'Imp-Aus2'!L$128</f>
        <v>0</v>
      </c>
      <c r="N40" s="489">
        <f>'Imp-Aus2'!E$129/1000</f>
        <v>0</v>
      </c>
      <c r="O40" s="430">
        <f>'Imp-Aus2'!F$129/1000</f>
        <v>0</v>
      </c>
      <c r="P40" s="430">
        <f>'Imp-Aus2'!G$129/1000</f>
        <v>0</v>
      </c>
      <c r="Q40" s="430">
        <f>'Imp-Aus2'!H$129/1000</f>
        <v>0</v>
      </c>
      <c r="R40" s="430">
        <f>'Imp-Aus2'!I$129/1000</f>
        <v>0</v>
      </c>
      <c r="S40" s="430">
        <f>'Imp-Aus2'!J$129/1000</f>
        <v>0</v>
      </c>
      <c r="T40" s="430">
        <f>'Imp-Aus2'!K$129/1000</f>
        <v>0</v>
      </c>
      <c r="U40" s="430">
        <f>'Imp-Aus2'!L$129/1000</f>
        <v>0</v>
      </c>
      <c r="V40" s="490">
        <f t="shared" si="5"/>
        <v>0</v>
      </c>
      <c r="W40" s="491">
        <f t="shared" si="5"/>
        <v>0</v>
      </c>
      <c r="X40" s="491">
        <f t="shared" si="5"/>
        <v>0</v>
      </c>
      <c r="Y40" s="491">
        <f t="shared" si="5"/>
        <v>0</v>
      </c>
      <c r="Z40" s="491">
        <f t="shared" si="5"/>
        <v>0</v>
      </c>
      <c r="AA40" s="491">
        <f t="shared" si="5"/>
        <v>0</v>
      </c>
      <c r="AB40" s="491">
        <f t="shared" si="5"/>
        <v>0</v>
      </c>
      <c r="AC40" s="492">
        <f t="shared" si="5"/>
        <v>0</v>
      </c>
    </row>
    <row r="41" spans="1:29" x14ac:dyDescent="0.25">
      <c r="A41" s="493" t="str">
        <f t="shared" si="10"/>
        <v>Don't</v>
      </c>
      <c r="B41" s="461" t="str">
        <f t="shared" si="10"/>
        <v>AUT</v>
      </c>
      <c r="C41">
        <f t="shared" si="10"/>
        <v>0</v>
      </c>
      <c r="D41" t="str">
        <f t="shared" si="10"/>
        <v>IMP</v>
      </c>
      <c r="E41" s="462" t="s">
        <v>615</v>
      </c>
      <c r="F41" s="489">
        <f>'Imp-Aus2'!E$133</f>
        <v>0</v>
      </c>
      <c r="G41" s="430">
        <f>'Imp-Aus2'!F$133</f>
        <v>0</v>
      </c>
      <c r="H41" s="430">
        <f>'Imp-Aus2'!G$133</f>
        <v>0</v>
      </c>
      <c r="I41" s="430">
        <f>'Imp-Aus2'!H$133</f>
        <v>0</v>
      </c>
      <c r="J41" s="430">
        <f>'Imp-Aus2'!I$133</f>
        <v>0</v>
      </c>
      <c r="K41" s="430">
        <f>'Imp-Aus2'!J$133</f>
        <v>0</v>
      </c>
      <c r="L41" s="430">
        <f>'Imp-Aus2'!K$133</f>
        <v>0</v>
      </c>
      <c r="M41" s="430">
        <f>'Imp-Aus2'!L$133</f>
        <v>0</v>
      </c>
      <c r="N41" s="489">
        <f>'Imp-Aus2'!E$134/1000</f>
        <v>0</v>
      </c>
      <c r="O41" s="430">
        <f>'Imp-Aus2'!F$134/1000</f>
        <v>0</v>
      </c>
      <c r="P41" s="430">
        <f>'Imp-Aus2'!G$134/1000</f>
        <v>0</v>
      </c>
      <c r="Q41" s="430">
        <f>'Imp-Aus2'!H$134/1000</f>
        <v>0</v>
      </c>
      <c r="R41" s="430">
        <f>'Imp-Aus2'!I$134/1000</f>
        <v>0</v>
      </c>
      <c r="S41" s="430">
        <f>'Imp-Aus2'!J$134/1000</f>
        <v>0</v>
      </c>
      <c r="T41" s="430">
        <f>'Imp-Aus2'!K$134/1000</f>
        <v>0</v>
      </c>
      <c r="U41" s="430">
        <f>'Imp-Aus2'!L$134/1000</f>
        <v>0</v>
      </c>
      <c r="V41" s="490">
        <f t="shared" si="5"/>
        <v>0</v>
      </c>
      <c r="W41" s="491">
        <f t="shared" si="5"/>
        <v>0</v>
      </c>
      <c r="X41" s="491">
        <f t="shared" si="5"/>
        <v>0</v>
      </c>
      <c r="Y41" s="491">
        <f t="shared" si="5"/>
        <v>0</v>
      </c>
      <c r="Z41" s="491">
        <f t="shared" si="5"/>
        <v>0</v>
      </c>
      <c r="AA41" s="491">
        <f t="shared" si="5"/>
        <v>0</v>
      </c>
      <c r="AB41" s="491">
        <f t="shared" si="5"/>
        <v>0</v>
      </c>
      <c r="AC41" s="492">
        <f t="shared" si="5"/>
        <v>0</v>
      </c>
    </row>
    <row r="42" spans="1:29" x14ac:dyDescent="0.25">
      <c r="A42" s="493" t="str">
        <f t="shared" si="10"/>
        <v>Don't</v>
      </c>
      <c r="B42" s="461" t="str">
        <f t="shared" si="10"/>
        <v>AUT</v>
      </c>
      <c r="C42">
        <f t="shared" si="10"/>
        <v>0</v>
      </c>
      <c r="D42" t="str">
        <f t="shared" si="10"/>
        <v>IMP</v>
      </c>
      <c r="E42" s="462" t="s">
        <v>616</v>
      </c>
      <c r="F42" s="489">
        <f>'Imp-Aus2'!E$138</f>
        <v>0</v>
      </c>
      <c r="G42" s="430">
        <f>'Imp-Aus2'!F$138</f>
        <v>0</v>
      </c>
      <c r="H42" s="430">
        <f>'Imp-Aus2'!G$138</f>
        <v>0</v>
      </c>
      <c r="I42" s="430">
        <f>'Imp-Aus2'!H$138</f>
        <v>0</v>
      </c>
      <c r="J42" s="430">
        <f>'Imp-Aus2'!I$138</f>
        <v>0</v>
      </c>
      <c r="K42" s="430">
        <f>'Imp-Aus2'!J$138</f>
        <v>0</v>
      </c>
      <c r="L42" s="430">
        <f>'Imp-Aus2'!K$138</f>
        <v>0</v>
      </c>
      <c r="M42" s="430">
        <f>'Imp-Aus2'!L$138</f>
        <v>0</v>
      </c>
      <c r="N42" s="489">
        <f>'Imp-Aus2'!E$139/1000</f>
        <v>0</v>
      </c>
      <c r="O42" s="430">
        <f>'Imp-Aus2'!F$139/1000</f>
        <v>0</v>
      </c>
      <c r="P42" s="430">
        <f>'Imp-Aus2'!G$139/1000</f>
        <v>0</v>
      </c>
      <c r="Q42" s="430">
        <f>'Imp-Aus2'!H$139/1000</f>
        <v>0</v>
      </c>
      <c r="R42" s="430">
        <f>'Imp-Aus2'!I$139/1000</f>
        <v>0</v>
      </c>
      <c r="S42" s="430">
        <f>'Imp-Aus2'!J$139/1000</f>
        <v>0</v>
      </c>
      <c r="T42" s="430">
        <f>'Imp-Aus2'!K$139/1000</f>
        <v>0</v>
      </c>
      <c r="U42" s="430">
        <f>'Imp-Aus2'!L$139/1000</f>
        <v>0</v>
      </c>
      <c r="V42" s="490">
        <f t="shared" si="5"/>
        <v>0</v>
      </c>
      <c r="W42" s="491">
        <f t="shared" si="5"/>
        <v>0</v>
      </c>
      <c r="X42" s="491">
        <f t="shared" si="5"/>
        <v>0</v>
      </c>
      <c r="Y42" s="491">
        <f t="shared" si="5"/>
        <v>0</v>
      </c>
      <c r="Z42" s="491">
        <f t="shared" si="5"/>
        <v>0</v>
      </c>
      <c r="AA42" s="491">
        <f t="shared" si="5"/>
        <v>0</v>
      </c>
      <c r="AB42" s="491">
        <f t="shared" si="5"/>
        <v>0</v>
      </c>
      <c r="AC42" s="492">
        <f t="shared" si="5"/>
        <v>0</v>
      </c>
    </row>
    <row r="43" spans="1:29" x14ac:dyDescent="0.25">
      <c r="A43" s="493" t="str">
        <f t="shared" si="10"/>
        <v>Don't</v>
      </c>
      <c r="B43" s="461" t="str">
        <f t="shared" si="10"/>
        <v>AUT</v>
      </c>
      <c r="C43">
        <f t="shared" si="10"/>
        <v>0</v>
      </c>
      <c r="D43" t="str">
        <f t="shared" si="10"/>
        <v>IMP</v>
      </c>
      <c r="E43" s="462" t="s">
        <v>617</v>
      </c>
      <c r="F43" s="489">
        <f>'Imp-Aus2'!E$143</f>
        <v>0</v>
      </c>
      <c r="G43" s="430">
        <f>'Imp-Aus2'!F$143</f>
        <v>0</v>
      </c>
      <c r="H43" s="430">
        <f>'Imp-Aus2'!G$143</f>
        <v>0</v>
      </c>
      <c r="I43" s="430">
        <f>'Imp-Aus2'!H$143</f>
        <v>0</v>
      </c>
      <c r="J43" s="430">
        <f>'Imp-Aus2'!I$143</f>
        <v>0</v>
      </c>
      <c r="K43" s="430">
        <f>'Imp-Aus2'!J$143</f>
        <v>0</v>
      </c>
      <c r="L43" s="430">
        <f>'Imp-Aus2'!K$143</f>
        <v>0</v>
      </c>
      <c r="M43" s="430">
        <f>'Imp-Aus2'!L$143</f>
        <v>0</v>
      </c>
      <c r="N43" s="489">
        <f>'Imp-Aus2'!E$144/1000</f>
        <v>0</v>
      </c>
      <c r="O43" s="430">
        <f>'Imp-Aus2'!F$144/1000</f>
        <v>0</v>
      </c>
      <c r="P43" s="430">
        <f>'Imp-Aus2'!G$144/1000</f>
        <v>0</v>
      </c>
      <c r="Q43" s="430">
        <f>'Imp-Aus2'!H$144/1000</f>
        <v>0</v>
      </c>
      <c r="R43" s="430">
        <f>'Imp-Aus2'!I$144/1000</f>
        <v>0</v>
      </c>
      <c r="S43" s="430">
        <f>'Imp-Aus2'!J$144/1000</f>
        <v>0</v>
      </c>
      <c r="T43" s="430">
        <f>'Imp-Aus2'!K$144/1000</f>
        <v>0</v>
      </c>
      <c r="U43" s="430">
        <f>'Imp-Aus2'!L$144/1000</f>
        <v>0</v>
      </c>
      <c r="V43" s="490">
        <f t="shared" si="5"/>
        <v>0</v>
      </c>
      <c r="W43" s="491">
        <f t="shared" si="5"/>
        <v>0</v>
      </c>
      <c r="X43" s="491">
        <f t="shared" si="5"/>
        <v>0</v>
      </c>
      <c r="Y43" s="491">
        <f t="shared" si="5"/>
        <v>0</v>
      </c>
      <c r="Z43" s="491">
        <f t="shared" si="5"/>
        <v>0</v>
      </c>
      <c r="AA43" s="491">
        <f t="shared" si="5"/>
        <v>0</v>
      </c>
      <c r="AB43" s="491">
        <f t="shared" si="5"/>
        <v>0</v>
      </c>
      <c r="AC43" s="492">
        <f t="shared" si="5"/>
        <v>0</v>
      </c>
    </row>
    <row r="44" spans="1:29" x14ac:dyDescent="0.25">
      <c r="A44" s="493" t="str">
        <f t="shared" si="10"/>
        <v>Don't</v>
      </c>
      <c r="B44" s="461" t="str">
        <f>B43</f>
        <v>AUT</v>
      </c>
      <c r="C44">
        <f>C43</f>
        <v>0</v>
      </c>
      <c r="D44" t="s">
        <v>618</v>
      </c>
      <c r="E44" s="462" t="str">
        <f t="shared" ref="E44:E49" si="11">E34</f>
        <v>BMP 1</v>
      </c>
      <c r="F44" s="489">
        <f>'Imp-Aus2'!E$169</f>
        <v>0</v>
      </c>
      <c r="G44" s="430">
        <f>'Imp-Aus2'!F$169</f>
        <v>0</v>
      </c>
      <c r="H44" s="430">
        <f>'Imp-Aus2'!G$169</f>
        <v>0</v>
      </c>
      <c r="I44" s="430">
        <f>'Imp-Aus2'!H$169</f>
        <v>0</v>
      </c>
      <c r="J44" s="430">
        <f>'Imp-Aus2'!I$169</f>
        <v>0</v>
      </c>
      <c r="K44" s="430">
        <f>'Imp-Aus2'!J$169</f>
        <v>0</v>
      </c>
      <c r="L44" s="430">
        <f>'Imp-Aus2'!K$169</f>
        <v>0</v>
      </c>
      <c r="M44" s="430">
        <f>'Imp-Aus2'!L$169</f>
        <v>0</v>
      </c>
      <c r="N44" s="489">
        <f>'Imp-Aus2'!E$170/1000</f>
        <v>0</v>
      </c>
      <c r="O44" s="430">
        <f>'Imp-Aus2'!F$170/1000</f>
        <v>0</v>
      </c>
      <c r="P44" s="430">
        <f>'Imp-Aus2'!G$170/1000</f>
        <v>0</v>
      </c>
      <c r="Q44" s="430">
        <f>'Imp-Aus2'!H$170/1000</f>
        <v>0</v>
      </c>
      <c r="R44" s="430">
        <f>'Imp-Aus2'!I$170/1000</f>
        <v>0</v>
      </c>
      <c r="S44" s="430">
        <f>'Imp-Aus2'!J$170/1000</f>
        <v>0</v>
      </c>
      <c r="T44" s="430">
        <f>'Imp-Aus2'!K$170/1000</f>
        <v>0</v>
      </c>
      <c r="U44" s="430">
        <f>'Imp-Aus2'!L$170/1000</f>
        <v>0</v>
      </c>
      <c r="V44" s="490">
        <f t="shared" si="5"/>
        <v>0</v>
      </c>
      <c r="W44" s="491">
        <f t="shared" si="5"/>
        <v>0</v>
      </c>
      <c r="X44" s="491">
        <f t="shared" si="5"/>
        <v>0</v>
      </c>
      <c r="Y44" s="491">
        <f t="shared" si="5"/>
        <v>0</v>
      </c>
      <c r="Z44" s="491">
        <f t="shared" si="5"/>
        <v>0</v>
      </c>
      <c r="AA44" s="491">
        <f t="shared" si="5"/>
        <v>0</v>
      </c>
      <c r="AB44" s="491">
        <f t="shared" si="5"/>
        <v>0</v>
      </c>
      <c r="AC44" s="492">
        <f t="shared" si="5"/>
        <v>0</v>
      </c>
    </row>
    <row r="45" spans="1:29" x14ac:dyDescent="0.25">
      <c r="A45" s="493" t="str">
        <f t="shared" si="10"/>
        <v>Don't</v>
      </c>
      <c r="B45" s="461" t="str">
        <f>B44</f>
        <v>AUT</v>
      </c>
      <c r="C45">
        <f t="shared" ref="C45:D49" si="12">C44</f>
        <v>0</v>
      </c>
      <c r="D45" t="str">
        <f>D44</f>
        <v>IMP SLS</v>
      </c>
      <c r="E45" s="462" t="str">
        <f t="shared" si="11"/>
        <v>BMP 2</v>
      </c>
      <c r="F45" s="489">
        <f>'Imp-Aus2'!E$174</f>
        <v>0</v>
      </c>
      <c r="G45" s="430">
        <f>'Imp-Aus2'!F$174</f>
        <v>0</v>
      </c>
      <c r="H45" s="430">
        <f>'Imp-Aus2'!G$174</f>
        <v>0</v>
      </c>
      <c r="I45" s="430">
        <f>'Imp-Aus2'!H$174</f>
        <v>0</v>
      </c>
      <c r="J45" s="430">
        <f>'Imp-Aus2'!I$174</f>
        <v>0</v>
      </c>
      <c r="K45" s="430">
        <f>'Imp-Aus2'!J$174</f>
        <v>0</v>
      </c>
      <c r="L45" s="430">
        <f>'Imp-Aus2'!K$174</f>
        <v>0</v>
      </c>
      <c r="M45" s="430">
        <f>'Imp-Aus2'!L$174</f>
        <v>0</v>
      </c>
      <c r="N45" s="489">
        <f>'Imp-Aus2'!E$175/1000</f>
        <v>0</v>
      </c>
      <c r="O45" s="430">
        <f>'Imp-Aus2'!F$175/1000</f>
        <v>0</v>
      </c>
      <c r="P45" s="430">
        <f>'Imp-Aus2'!G$175/1000</f>
        <v>0</v>
      </c>
      <c r="Q45" s="430">
        <f>'Imp-Aus2'!H$175/1000</f>
        <v>0</v>
      </c>
      <c r="R45" s="430">
        <f>'Imp-Aus2'!I$175/1000</f>
        <v>0</v>
      </c>
      <c r="S45" s="430">
        <f>'Imp-Aus2'!J$175/1000</f>
        <v>0</v>
      </c>
      <c r="T45" s="430">
        <f>'Imp-Aus2'!K$175/1000</f>
        <v>0</v>
      </c>
      <c r="U45" s="430">
        <f>'Imp-Aus2'!L$175/1000</f>
        <v>0</v>
      </c>
      <c r="V45" s="490">
        <f t="shared" si="5"/>
        <v>0</v>
      </c>
      <c r="W45" s="491">
        <f t="shared" si="5"/>
        <v>0</v>
      </c>
      <c r="X45" s="491">
        <f t="shared" si="5"/>
        <v>0</v>
      </c>
      <c r="Y45" s="491">
        <f t="shared" si="5"/>
        <v>0</v>
      </c>
      <c r="Z45" s="491">
        <f t="shared" si="5"/>
        <v>0</v>
      </c>
      <c r="AA45" s="491">
        <f t="shared" si="5"/>
        <v>0</v>
      </c>
      <c r="AB45" s="491">
        <f t="shared" si="5"/>
        <v>0</v>
      </c>
      <c r="AC45" s="492">
        <f t="shared" si="5"/>
        <v>0</v>
      </c>
    </row>
    <row r="46" spans="1:29" x14ac:dyDescent="0.25">
      <c r="A46" s="493" t="str">
        <f t="shared" si="10"/>
        <v>Don't</v>
      </c>
      <c r="B46" s="461" t="str">
        <f>B45</f>
        <v>AUT</v>
      </c>
      <c r="C46">
        <f t="shared" si="12"/>
        <v>0</v>
      </c>
      <c r="D46" t="str">
        <f t="shared" si="12"/>
        <v>IMP SLS</v>
      </c>
      <c r="E46" s="462" t="str">
        <f t="shared" si="11"/>
        <v>BMP 3</v>
      </c>
      <c r="F46" s="489">
        <f>'Imp-Aus2'!E$179</f>
        <v>0</v>
      </c>
      <c r="G46" s="430">
        <f>'Imp-Aus2'!F$179</f>
        <v>0</v>
      </c>
      <c r="H46" s="430">
        <f>'Imp-Aus2'!G$179</f>
        <v>0</v>
      </c>
      <c r="I46" s="430">
        <f>'Imp-Aus2'!H$179</f>
        <v>0</v>
      </c>
      <c r="J46" s="430">
        <f>'Imp-Aus2'!I$179</f>
        <v>0</v>
      </c>
      <c r="K46" s="430">
        <f>'Imp-Aus2'!J$179</f>
        <v>0</v>
      </c>
      <c r="L46" s="430">
        <f>'Imp-Aus2'!K$179</f>
        <v>0</v>
      </c>
      <c r="M46" s="430">
        <f>'Imp-Aus2'!L$179</f>
        <v>0</v>
      </c>
      <c r="N46" s="489">
        <f>'Imp-Aus2'!E$180/1000</f>
        <v>0</v>
      </c>
      <c r="O46" s="430">
        <f>'Imp-Aus2'!F$180/1000</f>
        <v>0</v>
      </c>
      <c r="P46" s="430">
        <f>'Imp-Aus2'!G$180/1000</f>
        <v>0</v>
      </c>
      <c r="Q46" s="430">
        <f>'Imp-Aus2'!H$180/1000</f>
        <v>0</v>
      </c>
      <c r="R46" s="430">
        <f>'Imp-Aus2'!I$180/1000</f>
        <v>0</v>
      </c>
      <c r="S46" s="430">
        <f>'Imp-Aus2'!J$180/1000</f>
        <v>0</v>
      </c>
      <c r="T46" s="430">
        <f>'Imp-Aus2'!K$180/1000</f>
        <v>0</v>
      </c>
      <c r="U46" s="430">
        <f>'Imp-Aus2'!L$180/1000</f>
        <v>0</v>
      </c>
      <c r="V46" s="490">
        <f t="shared" si="5"/>
        <v>0</v>
      </c>
      <c r="W46" s="491">
        <f t="shared" si="5"/>
        <v>0</v>
      </c>
      <c r="X46" s="491">
        <f t="shared" si="5"/>
        <v>0</v>
      </c>
      <c r="Y46" s="491">
        <f t="shared" si="5"/>
        <v>0</v>
      </c>
      <c r="Z46" s="491">
        <f t="shared" si="5"/>
        <v>0</v>
      </c>
      <c r="AA46" s="491">
        <f t="shared" si="5"/>
        <v>0</v>
      </c>
      <c r="AB46" s="491">
        <f t="shared" si="5"/>
        <v>0</v>
      </c>
      <c r="AC46" s="492">
        <f t="shared" si="5"/>
        <v>0</v>
      </c>
    </row>
    <row r="47" spans="1:29" x14ac:dyDescent="0.25">
      <c r="A47" s="493" t="str">
        <f t="shared" si="10"/>
        <v>Don't</v>
      </c>
      <c r="B47" s="461" t="str">
        <f>B46</f>
        <v>AUT</v>
      </c>
      <c r="C47">
        <f t="shared" si="12"/>
        <v>0</v>
      </c>
      <c r="D47" t="str">
        <f t="shared" si="12"/>
        <v>IMP SLS</v>
      </c>
      <c r="E47" s="462" t="str">
        <f t="shared" si="11"/>
        <v>BMP 4</v>
      </c>
      <c r="F47" s="489">
        <f>'Imp-Aus2'!E$184</f>
        <v>0</v>
      </c>
      <c r="G47" s="430">
        <f>'Imp-Aus2'!F$184</f>
        <v>0</v>
      </c>
      <c r="H47" s="430">
        <f>'Imp-Aus2'!G$184</f>
        <v>0</v>
      </c>
      <c r="I47" s="430">
        <f>'Imp-Aus2'!H$184</f>
        <v>0</v>
      </c>
      <c r="J47" s="430">
        <f>'Imp-Aus2'!I$184</f>
        <v>0</v>
      </c>
      <c r="K47" s="430">
        <f>'Imp-Aus2'!J$184</f>
        <v>0</v>
      </c>
      <c r="L47" s="430">
        <f>'Imp-Aus2'!K$184</f>
        <v>0</v>
      </c>
      <c r="M47" s="430">
        <f>'Imp-Aus2'!L$184</f>
        <v>0</v>
      </c>
      <c r="N47" s="489">
        <f>'Imp-Aus2'!E$185/1000</f>
        <v>0</v>
      </c>
      <c r="O47" s="430">
        <f>'Imp-Aus2'!F$185/1000</f>
        <v>0</v>
      </c>
      <c r="P47" s="430">
        <f>'Imp-Aus2'!G$185/1000</f>
        <v>0</v>
      </c>
      <c r="Q47" s="430">
        <f>'Imp-Aus2'!H$185/1000</f>
        <v>0</v>
      </c>
      <c r="R47" s="430">
        <f>'Imp-Aus2'!I$185/1000</f>
        <v>0</v>
      </c>
      <c r="S47" s="430">
        <f>'Imp-Aus2'!J$185/1000</f>
        <v>0</v>
      </c>
      <c r="T47" s="430">
        <f>'Imp-Aus2'!K$185/1000</f>
        <v>0</v>
      </c>
      <c r="U47" s="430">
        <f>'Imp-Aus2'!L$185/1000</f>
        <v>0</v>
      </c>
      <c r="V47" s="490">
        <f t="shared" si="5"/>
        <v>0</v>
      </c>
      <c r="W47" s="491">
        <f t="shared" si="5"/>
        <v>0</v>
      </c>
      <c r="X47" s="491">
        <f t="shared" si="5"/>
        <v>0</v>
      </c>
      <c r="Y47" s="491">
        <f t="shared" si="5"/>
        <v>0</v>
      </c>
      <c r="Z47" s="491">
        <f t="shared" si="5"/>
        <v>0</v>
      </c>
      <c r="AA47" s="491">
        <f t="shared" si="5"/>
        <v>0</v>
      </c>
      <c r="AB47" s="491">
        <f t="shared" si="5"/>
        <v>0</v>
      </c>
      <c r="AC47" s="492">
        <f t="shared" si="5"/>
        <v>0</v>
      </c>
    </row>
    <row r="48" spans="1:29" x14ac:dyDescent="0.25">
      <c r="A48" s="493" t="str">
        <f t="shared" si="10"/>
        <v>Don't</v>
      </c>
      <c r="B48" s="461" t="str">
        <f>B47</f>
        <v>AUT</v>
      </c>
      <c r="C48">
        <f t="shared" si="12"/>
        <v>0</v>
      </c>
      <c r="D48" t="str">
        <f t="shared" si="12"/>
        <v>IMP SLS</v>
      </c>
      <c r="E48" s="462" t="str">
        <f t="shared" si="11"/>
        <v>BMP 5</v>
      </c>
      <c r="F48" s="489">
        <f>'Imp-Aus2'!E$189</f>
        <v>0</v>
      </c>
      <c r="G48" s="430">
        <f>'Imp-Aus2'!F$189</f>
        <v>0</v>
      </c>
      <c r="H48" s="430">
        <f>'Imp-Aus2'!G$189</f>
        <v>0</v>
      </c>
      <c r="I48" s="430">
        <f>'Imp-Aus2'!H$189</f>
        <v>0</v>
      </c>
      <c r="J48" s="430">
        <f>'Imp-Aus2'!I$189</f>
        <v>0</v>
      </c>
      <c r="K48" s="430">
        <f>'Imp-Aus2'!J$189</f>
        <v>0</v>
      </c>
      <c r="L48" s="430">
        <f>'Imp-Aus2'!K$189</f>
        <v>0</v>
      </c>
      <c r="M48" s="430">
        <f>'Imp-Aus2'!L$189</f>
        <v>0</v>
      </c>
      <c r="N48" s="489">
        <f>'Imp-Aus2'!E$190/1000</f>
        <v>0</v>
      </c>
      <c r="O48" s="430">
        <f>'Imp-Aus2'!F$190/1000</f>
        <v>0</v>
      </c>
      <c r="P48" s="430">
        <f>'Imp-Aus2'!G$190/1000</f>
        <v>0</v>
      </c>
      <c r="Q48" s="430">
        <f>'Imp-Aus2'!H$190/1000</f>
        <v>0</v>
      </c>
      <c r="R48" s="430">
        <f>'Imp-Aus2'!I$190/1000</f>
        <v>0</v>
      </c>
      <c r="S48" s="430">
        <f>'Imp-Aus2'!J$190/1000</f>
        <v>0</v>
      </c>
      <c r="T48" s="430">
        <f>'Imp-Aus2'!K$190/1000</f>
        <v>0</v>
      </c>
      <c r="U48" s="430">
        <f>'Imp-Aus2'!L$190/1000</f>
        <v>0</v>
      </c>
      <c r="V48" s="490">
        <f t="shared" si="5"/>
        <v>0</v>
      </c>
      <c r="W48" s="491">
        <f t="shared" si="5"/>
        <v>0</v>
      </c>
      <c r="X48" s="491">
        <f t="shared" si="5"/>
        <v>0</v>
      </c>
      <c r="Y48" s="491">
        <f t="shared" si="5"/>
        <v>0</v>
      </c>
      <c r="Z48" s="491">
        <f t="shared" si="5"/>
        <v>0</v>
      </c>
      <c r="AA48" s="491">
        <f t="shared" si="5"/>
        <v>0</v>
      </c>
      <c r="AB48" s="491">
        <f t="shared" si="5"/>
        <v>0</v>
      </c>
      <c r="AC48" s="492">
        <f t="shared" si="5"/>
        <v>0</v>
      </c>
    </row>
    <row r="49" spans="1:29" x14ac:dyDescent="0.25">
      <c r="A49" s="493" t="str">
        <f t="shared" si="10"/>
        <v>Don't</v>
      </c>
      <c r="B49" s="461" t="str">
        <f>B48</f>
        <v>AUT</v>
      </c>
      <c r="C49">
        <f t="shared" si="12"/>
        <v>0</v>
      </c>
      <c r="D49" t="str">
        <f t="shared" si="12"/>
        <v>IMP SLS</v>
      </c>
      <c r="E49" s="462" t="str">
        <f t="shared" si="11"/>
        <v>BMP 6</v>
      </c>
      <c r="F49" s="489">
        <f>'Imp-Aus2'!E$194</f>
        <v>0</v>
      </c>
      <c r="G49" s="430">
        <f>'Imp-Aus2'!F$194</f>
        <v>0</v>
      </c>
      <c r="H49" s="430">
        <f>'Imp-Aus2'!G$194</f>
        <v>0</v>
      </c>
      <c r="I49" s="430">
        <f>'Imp-Aus2'!H$194</f>
        <v>0</v>
      </c>
      <c r="J49" s="430">
        <f>'Imp-Aus2'!I$194</f>
        <v>0</v>
      </c>
      <c r="K49" s="430">
        <f>'Imp-Aus2'!J$194</f>
        <v>0</v>
      </c>
      <c r="L49" s="430">
        <f>'Imp-Aus2'!K$194</f>
        <v>0</v>
      </c>
      <c r="M49" s="430">
        <f>'Imp-Aus2'!L$194</f>
        <v>0</v>
      </c>
      <c r="N49" s="489">
        <f>'Imp-Aus2'!E$195/1000</f>
        <v>0</v>
      </c>
      <c r="O49" s="430">
        <f>'Imp-Aus2'!F$195/1000</f>
        <v>0</v>
      </c>
      <c r="P49" s="430">
        <f>'Imp-Aus2'!G$195/1000</f>
        <v>0</v>
      </c>
      <c r="Q49" s="430">
        <f>'Imp-Aus2'!H$195/1000</f>
        <v>0</v>
      </c>
      <c r="R49" s="430">
        <f>'Imp-Aus2'!I$195/1000</f>
        <v>0</v>
      </c>
      <c r="S49" s="430">
        <f>'Imp-Aus2'!J$195/1000</f>
        <v>0</v>
      </c>
      <c r="T49" s="430">
        <f>'Imp-Aus2'!K$195/1000</f>
        <v>0</v>
      </c>
      <c r="U49" s="430">
        <f>'Imp-Aus2'!L$195/1000</f>
        <v>0</v>
      </c>
      <c r="V49" s="490">
        <f t="shared" si="5"/>
        <v>0</v>
      </c>
      <c r="W49" s="491">
        <f t="shared" si="5"/>
        <v>0</v>
      </c>
      <c r="X49" s="491">
        <f t="shared" si="5"/>
        <v>0</v>
      </c>
      <c r="Y49" s="491">
        <f t="shared" si="5"/>
        <v>0</v>
      </c>
      <c r="Z49" s="491">
        <f t="shared" si="5"/>
        <v>0</v>
      </c>
      <c r="AA49" s="491">
        <f t="shared" si="5"/>
        <v>0</v>
      </c>
      <c r="AB49" s="491">
        <f t="shared" si="5"/>
        <v>0</v>
      </c>
      <c r="AC49" s="492">
        <f t="shared" si="5"/>
        <v>0</v>
      </c>
    </row>
    <row r="50" spans="1:29" x14ac:dyDescent="0.25">
      <c r="A50" s="493" t="str">
        <f t="shared" si="10"/>
        <v>Don't</v>
      </c>
      <c r="B50" s="461" t="str">
        <f t="shared" si="10"/>
        <v>AUT</v>
      </c>
      <c r="C50">
        <f t="shared" si="10"/>
        <v>0</v>
      </c>
      <c r="D50" t="str">
        <f t="shared" si="10"/>
        <v>IMP SLS</v>
      </c>
      <c r="E50" s="462" t="str">
        <f t="shared" ref="E50:E53" si="13">E40</f>
        <v>BMP 7</v>
      </c>
      <c r="F50" s="489">
        <f>'Imp-Aus2'!E$199</f>
        <v>0</v>
      </c>
      <c r="G50" s="430">
        <f>'Imp-Aus2'!F$199</f>
        <v>0</v>
      </c>
      <c r="H50" s="430">
        <f>'Imp-Aus2'!G$199</f>
        <v>0</v>
      </c>
      <c r="I50" s="430">
        <f>'Imp-Aus2'!H$199</f>
        <v>0</v>
      </c>
      <c r="J50" s="430">
        <f>'Imp-Aus2'!I$199</f>
        <v>0</v>
      </c>
      <c r="K50" s="430">
        <f>'Imp-Aus2'!J$199</f>
        <v>0</v>
      </c>
      <c r="L50" s="430">
        <f>'Imp-Aus2'!K$199</f>
        <v>0</v>
      </c>
      <c r="M50" s="430">
        <f>'Imp-Aus2'!L$199</f>
        <v>0</v>
      </c>
      <c r="N50" s="489">
        <f>'Imp-Aus2'!E$200/1000</f>
        <v>0</v>
      </c>
      <c r="O50" s="430">
        <f>'Imp-Aus2'!F$200/1000</f>
        <v>0</v>
      </c>
      <c r="P50" s="430">
        <f>'Imp-Aus2'!G$200/1000</f>
        <v>0</v>
      </c>
      <c r="Q50" s="430">
        <f>'Imp-Aus2'!H$200/1000</f>
        <v>0</v>
      </c>
      <c r="R50" s="430">
        <f>'Imp-Aus2'!I$200/1000</f>
        <v>0</v>
      </c>
      <c r="S50" s="430">
        <f>'Imp-Aus2'!J$200/1000</f>
        <v>0</v>
      </c>
      <c r="T50" s="430">
        <f>'Imp-Aus2'!K$200/1000</f>
        <v>0</v>
      </c>
      <c r="U50" s="430">
        <f>'Imp-Aus2'!L$200/1000</f>
        <v>0</v>
      </c>
      <c r="V50" s="490">
        <f t="shared" si="5"/>
        <v>0</v>
      </c>
      <c r="W50" s="491">
        <f t="shared" si="5"/>
        <v>0</v>
      </c>
      <c r="X50" s="491">
        <f t="shared" si="5"/>
        <v>0</v>
      </c>
      <c r="Y50" s="491">
        <f t="shared" si="5"/>
        <v>0</v>
      </c>
      <c r="Z50" s="491">
        <f t="shared" si="5"/>
        <v>0</v>
      </c>
      <c r="AA50" s="491">
        <f t="shared" si="5"/>
        <v>0</v>
      </c>
      <c r="AB50" s="491">
        <f t="shared" si="5"/>
        <v>0</v>
      </c>
      <c r="AC50" s="492">
        <f t="shared" si="5"/>
        <v>0</v>
      </c>
    </row>
    <row r="51" spans="1:29" x14ac:dyDescent="0.25">
      <c r="A51" s="493" t="str">
        <f t="shared" si="10"/>
        <v>Don't</v>
      </c>
      <c r="B51" s="461" t="str">
        <f t="shared" si="10"/>
        <v>AUT</v>
      </c>
      <c r="C51">
        <f t="shared" si="10"/>
        <v>0</v>
      </c>
      <c r="D51" t="str">
        <f t="shared" si="10"/>
        <v>IMP SLS</v>
      </c>
      <c r="E51" s="462" t="str">
        <f t="shared" si="13"/>
        <v>BMP 8</v>
      </c>
      <c r="F51" s="489">
        <f>'Imp-Aus2'!E$204</f>
        <v>0</v>
      </c>
      <c r="G51" s="430">
        <f>'Imp-Aus2'!F$204</f>
        <v>0</v>
      </c>
      <c r="H51" s="430">
        <f>'Imp-Aus2'!G$204</f>
        <v>0</v>
      </c>
      <c r="I51" s="430">
        <f>'Imp-Aus2'!H$204</f>
        <v>0</v>
      </c>
      <c r="J51" s="430">
        <f>'Imp-Aus2'!I$204</f>
        <v>0</v>
      </c>
      <c r="K51" s="430">
        <f>'Imp-Aus2'!J$204</f>
        <v>0</v>
      </c>
      <c r="L51" s="430">
        <f>'Imp-Aus2'!K$204</f>
        <v>0</v>
      </c>
      <c r="M51" s="430">
        <f>'Imp-Aus2'!L$204</f>
        <v>0</v>
      </c>
      <c r="N51" s="489">
        <f>'Imp-Aus2'!E$205/1000</f>
        <v>0</v>
      </c>
      <c r="O51" s="430">
        <f>'Imp-Aus2'!F$205/1000</f>
        <v>0</v>
      </c>
      <c r="P51" s="430">
        <f>'Imp-Aus2'!G$205/1000</f>
        <v>0</v>
      </c>
      <c r="Q51" s="430">
        <f>'Imp-Aus2'!H$205/1000</f>
        <v>0</v>
      </c>
      <c r="R51" s="430">
        <f>'Imp-Aus2'!I$205/1000</f>
        <v>0</v>
      </c>
      <c r="S51" s="430">
        <f>'Imp-Aus2'!J$205/1000</f>
        <v>0</v>
      </c>
      <c r="T51" s="430">
        <f>'Imp-Aus2'!K$205/1000</f>
        <v>0</v>
      </c>
      <c r="U51" s="430">
        <f>'Imp-Aus2'!L$205/1000</f>
        <v>0</v>
      </c>
      <c r="V51" s="490">
        <f t="shared" si="5"/>
        <v>0</v>
      </c>
      <c r="W51" s="491">
        <f t="shared" si="5"/>
        <v>0</v>
      </c>
      <c r="X51" s="491">
        <f t="shared" si="5"/>
        <v>0</v>
      </c>
      <c r="Y51" s="491">
        <f t="shared" si="5"/>
        <v>0</v>
      </c>
      <c r="Z51" s="491">
        <f t="shared" si="5"/>
        <v>0</v>
      </c>
      <c r="AA51" s="491">
        <f t="shared" si="5"/>
        <v>0</v>
      </c>
      <c r="AB51" s="491">
        <f t="shared" si="5"/>
        <v>0</v>
      </c>
      <c r="AC51" s="492">
        <f t="shared" si="5"/>
        <v>0</v>
      </c>
    </row>
    <row r="52" spans="1:29" x14ac:dyDescent="0.25">
      <c r="A52" s="493" t="str">
        <f t="shared" si="10"/>
        <v>Don't</v>
      </c>
      <c r="B52" s="461" t="str">
        <f t="shared" si="10"/>
        <v>AUT</v>
      </c>
      <c r="C52">
        <f t="shared" si="10"/>
        <v>0</v>
      </c>
      <c r="D52" t="str">
        <f t="shared" si="10"/>
        <v>IMP SLS</v>
      </c>
      <c r="E52" s="462" t="str">
        <f t="shared" si="13"/>
        <v>BMP 9</v>
      </c>
      <c r="F52" s="489">
        <f>'Imp-Aus2'!E$209</f>
        <v>0</v>
      </c>
      <c r="G52" s="430">
        <f>'Imp-Aus2'!F$209</f>
        <v>0</v>
      </c>
      <c r="H52" s="430">
        <f>'Imp-Aus2'!G$209</f>
        <v>0</v>
      </c>
      <c r="I52" s="430">
        <f>'Imp-Aus2'!H$209</f>
        <v>0</v>
      </c>
      <c r="J52" s="430">
        <f>'Imp-Aus2'!I$209</f>
        <v>0</v>
      </c>
      <c r="K52" s="430">
        <f>'Imp-Aus2'!J$209</f>
        <v>0</v>
      </c>
      <c r="L52" s="430">
        <f>'Imp-Aus2'!K$209</f>
        <v>0</v>
      </c>
      <c r="M52" s="430">
        <f>'Imp-Aus2'!L$209</f>
        <v>0</v>
      </c>
      <c r="N52" s="489">
        <f>'Imp-Aus2'!E$210/1000</f>
        <v>0</v>
      </c>
      <c r="O52" s="430">
        <f>'Imp-Aus2'!F$210/1000</f>
        <v>0</v>
      </c>
      <c r="P52" s="430">
        <f>'Imp-Aus2'!G$210/1000</f>
        <v>0</v>
      </c>
      <c r="Q52" s="430">
        <f>'Imp-Aus2'!H$210/1000</f>
        <v>0</v>
      </c>
      <c r="R52" s="430">
        <f>'Imp-Aus2'!I$210/1000</f>
        <v>0</v>
      </c>
      <c r="S52" s="430">
        <f>'Imp-Aus2'!J$210/1000</f>
        <v>0</v>
      </c>
      <c r="T52" s="430">
        <f>'Imp-Aus2'!K$210/1000</f>
        <v>0</v>
      </c>
      <c r="U52" s="430">
        <f>'Imp-Aus2'!L$210/1000</f>
        <v>0</v>
      </c>
      <c r="V52" s="490">
        <f t="shared" si="5"/>
        <v>0</v>
      </c>
      <c r="W52" s="491">
        <f t="shared" si="5"/>
        <v>0</v>
      </c>
      <c r="X52" s="491">
        <f t="shared" si="5"/>
        <v>0</v>
      </c>
      <c r="Y52" s="491">
        <f t="shared" si="5"/>
        <v>0</v>
      </c>
      <c r="Z52" s="491">
        <f t="shared" si="5"/>
        <v>0</v>
      </c>
      <c r="AA52" s="491">
        <f t="shared" si="5"/>
        <v>0</v>
      </c>
      <c r="AB52" s="491">
        <f t="shared" si="5"/>
        <v>0</v>
      </c>
      <c r="AC52" s="492">
        <f t="shared" si="5"/>
        <v>0</v>
      </c>
    </row>
    <row r="53" spans="1:29" x14ac:dyDescent="0.25">
      <c r="A53" s="493" t="str">
        <f t="shared" si="10"/>
        <v>Don't</v>
      </c>
      <c r="B53" s="461" t="str">
        <f t="shared" si="10"/>
        <v>AUT</v>
      </c>
      <c r="C53">
        <f t="shared" si="10"/>
        <v>0</v>
      </c>
      <c r="D53" t="str">
        <f t="shared" si="10"/>
        <v>IMP SLS</v>
      </c>
      <c r="E53" s="462" t="str">
        <f t="shared" si="13"/>
        <v>BMP 10</v>
      </c>
      <c r="F53" s="489">
        <f>'Imp-Aus2'!E$214</f>
        <v>0</v>
      </c>
      <c r="G53" s="430">
        <f>'Imp-Aus2'!F$214</f>
        <v>0</v>
      </c>
      <c r="H53" s="430">
        <f>'Imp-Aus2'!G$214</f>
        <v>0</v>
      </c>
      <c r="I53" s="430">
        <f>'Imp-Aus2'!H$214</f>
        <v>0</v>
      </c>
      <c r="J53" s="430">
        <f>'Imp-Aus2'!I$214</f>
        <v>0</v>
      </c>
      <c r="K53" s="430">
        <f>'Imp-Aus2'!J$214</f>
        <v>0</v>
      </c>
      <c r="L53" s="430">
        <f>'Imp-Aus2'!K$214</f>
        <v>0</v>
      </c>
      <c r="M53" s="430">
        <f>'Imp-Aus2'!L$214</f>
        <v>0</v>
      </c>
      <c r="N53" s="489">
        <f>'Imp-Aus2'!E$215/1000</f>
        <v>0</v>
      </c>
      <c r="O53" s="430">
        <f>'Imp-Aus2'!F$215/1000</f>
        <v>0</v>
      </c>
      <c r="P53" s="430">
        <f>'Imp-Aus2'!G$215/1000</f>
        <v>0</v>
      </c>
      <c r="Q53" s="430">
        <f>'Imp-Aus2'!H$215/1000</f>
        <v>0</v>
      </c>
      <c r="R53" s="430">
        <f>'Imp-Aus2'!I$215/1000</f>
        <v>0</v>
      </c>
      <c r="S53" s="430">
        <f>'Imp-Aus2'!J$215/1000</f>
        <v>0</v>
      </c>
      <c r="T53" s="430">
        <f>'Imp-Aus2'!K$215/1000</f>
        <v>0</v>
      </c>
      <c r="U53" s="430">
        <f>'Imp-Aus2'!L$215/1000</f>
        <v>0</v>
      </c>
      <c r="V53" s="490">
        <f t="shared" si="5"/>
        <v>0</v>
      </c>
      <c r="W53" s="491">
        <f t="shared" si="5"/>
        <v>0</v>
      </c>
      <c r="X53" s="491">
        <f t="shared" si="5"/>
        <v>0</v>
      </c>
      <c r="Y53" s="491">
        <f t="shared" si="5"/>
        <v>0</v>
      </c>
      <c r="Z53" s="491">
        <f t="shared" si="5"/>
        <v>0</v>
      </c>
      <c r="AA53" s="491">
        <f t="shared" si="5"/>
        <v>0</v>
      </c>
      <c r="AB53" s="491">
        <f t="shared" si="5"/>
        <v>0</v>
      </c>
      <c r="AC53" s="492">
        <f t="shared" si="5"/>
        <v>0</v>
      </c>
    </row>
    <row r="54" spans="1:29" x14ac:dyDescent="0.25">
      <c r="A54" s="493" t="str">
        <f>IF(SUM(F54:U69)&gt;=0.01,"Copy","Don't")</f>
        <v>Don't</v>
      </c>
      <c r="B54" s="494" t="s">
        <v>552</v>
      </c>
      <c r="C54" s="495">
        <f>'Imp-Aus3'!$G$22</f>
        <v>0</v>
      </c>
      <c r="D54" s="495" t="s">
        <v>607</v>
      </c>
      <c r="E54" s="496" t="s">
        <v>608</v>
      </c>
      <c r="F54" s="489">
        <f>'Imp-Aus3'!E$98</f>
        <v>0</v>
      </c>
      <c r="G54" s="430">
        <f>'Imp-Aus3'!F$98</f>
        <v>0</v>
      </c>
      <c r="H54" s="430">
        <f>'Imp-Aus3'!G$98</f>
        <v>0</v>
      </c>
      <c r="I54" s="430">
        <f>'Imp-Aus3'!H$98</f>
        <v>0</v>
      </c>
      <c r="J54" s="430">
        <f>'Imp-Aus3'!I$98</f>
        <v>0</v>
      </c>
      <c r="K54" s="430">
        <f>'Imp-Aus3'!J$98</f>
        <v>0</v>
      </c>
      <c r="L54" s="430">
        <f>'Imp-Aus3'!K$98</f>
        <v>0</v>
      </c>
      <c r="M54" s="430">
        <f>'Imp-Aus3'!L$98</f>
        <v>0</v>
      </c>
      <c r="N54" s="489">
        <f>'Imp-Aus3'!E$99/1000</f>
        <v>0</v>
      </c>
      <c r="O54" s="430">
        <f>'Imp-Aus3'!F$99/1000</f>
        <v>0</v>
      </c>
      <c r="P54" s="430">
        <f>'Imp-Aus3'!G$99/1000</f>
        <v>0</v>
      </c>
      <c r="Q54" s="430">
        <f>'Imp-Aus3'!H$99/1000</f>
        <v>0</v>
      </c>
      <c r="R54" s="430">
        <f>'Imp-Aus3'!I$99/1000</f>
        <v>0</v>
      </c>
      <c r="S54" s="430">
        <f>'Imp-Aus3'!J$99/1000</f>
        <v>0</v>
      </c>
      <c r="T54" s="430">
        <f>'Imp-Aus3'!K$99/1000</f>
        <v>0</v>
      </c>
      <c r="U54" s="430">
        <f>'Imp-Aus3'!L$99/1000</f>
        <v>0</v>
      </c>
      <c r="V54" s="490">
        <f t="shared" si="5"/>
        <v>0</v>
      </c>
      <c r="W54" s="491">
        <f t="shared" si="5"/>
        <v>0</v>
      </c>
      <c r="X54" s="491">
        <f t="shared" si="5"/>
        <v>0</v>
      </c>
      <c r="Y54" s="491">
        <f t="shared" si="5"/>
        <v>0</v>
      </c>
      <c r="Z54" s="491">
        <f t="shared" si="5"/>
        <v>0</v>
      </c>
      <c r="AA54" s="491">
        <f t="shared" si="5"/>
        <v>0</v>
      </c>
      <c r="AB54" s="491">
        <f t="shared" si="5"/>
        <v>0</v>
      </c>
      <c r="AC54" s="492">
        <f t="shared" si="5"/>
        <v>0</v>
      </c>
    </row>
    <row r="55" spans="1:29" x14ac:dyDescent="0.25">
      <c r="A55" s="493" t="str">
        <f>A54</f>
        <v>Don't</v>
      </c>
      <c r="B55" s="461" t="str">
        <f>B54</f>
        <v>AUT</v>
      </c>
      <c r="C55">
        <f>C54</f>
        <v>0</v>
      </c>
      <c r="D55" t="str">
        <f>D54</f>
        <v>IMP</v>
      </c>
      <c r="E55" s="462" t="s">
        <v>609</v>
      </c>
      <c r="F55" s="489">
        <f>'Imp-Aus3'!E$103</f>
        <v>0</v>
      </c>
      <c r="G55" s="430">
        <f>'Imp-Aus3'!F$103</f>
        <v>0</v>
      </c>
      <c r="H55" s="430">
        <f>'Imp-Aus3'!G$103</f>
        <v>0</v>
      </c>
      <c r="I55" s="430">
        <f>'Imp-Aus3'!H$103</f>
        <v>0</v>
      </c>
      <c r="J55" s="430">
        <f>'Imp-Aus3'!I$103</f>
        <v>0</v>
      </c>
      <c r="K55" s="430">
        <f>'Imp-Aus3'!J$103</f>
        <v>0</v>
      </c>
      <c r="L55" s="430">
        <f>'Imp-Aus3'!K$103</f>
        <v>0</v>
      </c>
      <c r="M55" s="430">
        <f>'Imp-Aus3'!L$103</f>
        <v>0</v>
      </c>
      <c r="N55" s="489">
        <f>'Imp-Aus3'!E$104/1000</f>
        <v>0</v>
      </c>
      <c r="O55" s="430">
        <f>'Imp-Aus3'!F$104/1000</f>
        <v>0</v>
      </c>
      <c r="P55" s="430">
        <f>'Imp-Aus3'!G$104/1000</f>
        <v>0</v>
      </c>
      <c r="Q55" s="430">
        <f>'Imp-Aus3'!H$104/1000</f>
        <v>0</v>
      </c>
      <c r="R55" s="430">
        <f>'Imp-Aus3'!I$104/1000</f>
        <v>0</v>
      </c>
      <c r="S55" s="430">
        <f>'Imp-Aus3'!J$104/1000</f>
        <v>0</v>
      </c>
      <c r="T55" s="430">
        <f>'Imp-Aus3'!K$104/1000</f>
        <v>0</v>
      </c>
      <c r="U55" s="430">
        <f>'Imp-Aus3'!L$104/1000</f>
        <v>0</v>
      </c>
      <c r="V55" s="490">
        <f t="shared" si="5"/>
        <v>0</v>
      </c>
      <c r="W55" s="491">
        <f t="shared" si="5"/>
        <v>0</v>
      </c>
      <c r="X55" s="491">
        <f t="shared" si="5"/>
        <v>0</v>
      </c>
      <c r="Y55" s="491">
        <f t="shared" si="5"/>
        <v>0</v>
      </c>
      <c r="Z55" s="491">
        <f t="shared" si="5"/>
        <v>0</v>
      </c>
      <c r="AA55" s="491">
        <f t="shared" si="5"/>
        <v>0</v>
      </c>
      <c r="AB55" s="491">
        <f t="shared" si="5"/>
        <v>0</v>
      </c>
      <c r="AC55" s="492">
        <f t="shared" si="5"/>
        <v>0</v>
      </c>
    </row>
    <row r="56" spans="1:29" x14ac:dyDescent="0.25">
      <c r="A56" s="493" t="str">
        <f t="shared" ref="A56:D73" si="14">A55</f>
        <v>Don't</v>
      </c>
      <c r="B56" s="461" t="str">
        <f t="shared" si="14"/>
        <v>AUT</v>
      </c>
      <c r="C56">
        <f t="shared" si="14"/>
        <v>0</v>
      </c>
      <c r="D56" t="str">
        <f t="shared" si="14"/>
        <v>IMP</v>
      </c>
      <c r="E56" s="462" t="s">
        <v>610</v>
      </c>
      <c r="F56" s="489">
        <f>'Imp-Aus3'!E$108</f>
        <v>0</v>
      </c>
      <c r="G56" s="430">
        <f>'Imp-Aus3'!F$108</f>
        <v>0</v>
      </c>
      <c r="H56" s="430">
        <f>'Imp-Aus3'!G$108</f>
        <v>0</v>
      </c>
      <c r="I56" s="430">
        <f>'Imp-Aus3'!H$108</f>
        <v>0</v>
      </c>
      <c r="J56" s="430">
        <f>'Imp-Aus3'!I$108</f>
        <v>0</v>
      </c>
      <c r="K56" s="430">
        <f>'Imp-Aus3'!J$108</f>
        <v>0</v>
      </c>
      <c r="L56" s="430">
        <f>'Imp-Aus3'!K$108</f>
        <v>0</v>
      </c>
      <c r="M56" s="430">
        <f>'Imp-Aus3'!L$108</f>
        <v>0</v>
      </c>
      <c r="N56" s="489">
        <f>'Imp-Aus3'!E$109/1000</f>
        <v>0</v>
      </c>
      <c r="O56" s="430">
        <f>'Imp-Aus3'!F$109/1000</f>
        <v>0</v>
      </c>
      <c r="P56" s="430">
        <f>'Imp-Aus3'!G$109/1000</f>
        <v>0</v>
      </c>
      <c r="Q56" s="430">
        <f>'Imp-Aus3'!H$109/1000</f>
        <v>0</v>
      </c>
      <c r="R56" s="430">
        <f>'Imp-Aus3'!I$109/1000</f>
        <v>0</v>
      </c>
      <c r="S56" s="430">
        <f>'Imp-Aus3'!J$109/1000</f>
        <v>0</v>
      </c>
      <c r="T56" s="430">
        <f>'Imp-Aus3'!K$109/1000</f>
        <v>0</v>
      </c>
      <c r="U56" s="430">
        <f>'Imp-Aus3'!L$109/1000</f>
        <v>0</v>
      </c>
      <c r="V56" s="490">
        <f t="shared" si="5"/>
        <v>0</v>
      </c>
      <c r="W56" s="491">
        <f t="shared" si="5"/>
        <v>0</v>
      </c>
      <c r="X56" s="491">
        <f t="shared" si="5"/>
        <v>0</v>
      </c>
      <c r="Y56" s="491">
        <f t="shared" si="5"/>
        <v>0</v>
      </c>
      <c r="Z56" s="491">
        <f t="shared" si="5"/>
        <v>0</v>
      </c>
      <c r="AA56" s="491">
        <f t="shared" si="5"/>
        <v>0</v>
      </c>
      <c r="AB56" s="491">
        <f t="shared" si="5"/>
        <v>0</v>
      </c>
      <c r="AC56" s="492">
        <f t="shared" si="5"/>
        <v>0</v>
      </c>
    </row>
    <row r="57" spans="1:29" x14ac:dyDescent="0.25">
      <c r="A57" s="493" t="str">
        <f t="shared" si="14"/>
        <v>Don't</v>
      </c>
      <c r="B57" s="461" t="str">
        <f t="shared" si="14"/>
        <v>AUT</v>
      </c>
      <c r="C57">
        <f t="shared" si="14"/>
        <v>0</v>
      </c>
      <c r="D57" t="str">
        <f t="shared" si="14"/>
        <v>IMP</v>
      </c>
      <c r="E57" s="462" t="s">
        <v>611</v>
      </c>
      <c r="F57" s="489">
        <f>'Imp-Aus3'!E$113</f>
        <v>0</v>
      </c>
      <c r="G57" s="430">
        <f>'Imp-Aus3'!F$113</f>
        <v>0</v>
      </c>
      <c r="H57" s="430">
        <f>'Imp-Aus3'!G$113</f>
        <v>0</v>
      </c>
      <c r="I57" s="430">
        <f>'Imp-Aus3'!H$113</f>
        <v>0</v>
      </c>
      <c r="J57" s="430">
        <f>'Imp-Aus3'!I$113</f>
        <v>0</v>
      </c>
      <c r="K57" s="430">
        <f>'Imp-Aus3'!J$113</f>
        <v>0</v>
      </c>
      <c r="L57" s="430">
        <f>'Imp-Aus3'!K$113</f>
        <v>0</v>
      </c>
      <c r="M57" s="430">
        <f>'Imp-Aus3'!L$113</f>
        <v>0</v>
      </c>
      <c r="N57" s="489">
        <f>'Imp-Aus3'!E$114/1000</f>
        <v>0</v>
      </c>
      <c r="O57" s="430">
        <f>'Imp-Aus3'!F$114/1000</f>
        <v>0</v>
      </c>
      <c r="P57" s="430">
        <f>'Imp-Aus3'!G$114/1000</f>
        <v>0</v>
      </c>
      <c r="Q57" s="430">
        <f>'Imp-Aus3'!H$114/1000</f>
        <v>0</v>
      </c>
      <c r="R57" s="430">
        <f>'Imp-Aus3'!I$114/1000</f>
        <v>0</v>
      </c>
      <c r="S57" s="430">
        <f>'Imp-Aus3'!J$114/1000</f>
        <v>0</v>
      </c>
      <c r="T57" s="430">
        <f>'Imp-Aus3'!K$114/1000</f>
        <v>0</v>
      </c>
      <c r="U57" s="430">
        <f>'Imp-Aus3'!L$114/1000</f>
        <v>0</v>
      </c>
      <c r="V57" s="490">
        <f t="shared" si="5"/>
        <v>0</v>
      </c>
      <c r="W57" s="491">
        <f t="shared" si="5"/>
        <v>0</v>
      </c>
      <c r="X57" s="491">
        <f t="shared" si="5"/>
        <v>0</v>
      </c>
      <c r="Y57" s="491">
        <f t="shared" si="5"/>
        <v>0</v>
      </c>
      <c r="Z57" s="491">
        <f t="shared" si="5"/>
        <v>0</v>
      </c>
      <c r="AA57" s="491">
        <f t="shared" si="5"/>
        <v>0</v>
      </c>
      <c r="AB57" s="491">
        <f t="shared" si="5"/>
        <v>0</v>
      </c>
      <c r="AC57" s="492">
        <f t="shared" si="5"/>
        <v>0</v>
      </c>
    </row>
    <row r="58" spans="1:29" x14ac:dyDescent="0.25">
      <c r="A58" s="493" t="str">
        <f t="shared" si="14"/>
        <v>Don't</v>
      </c>
      <c r="B58" s="461" t="str">
        <f t="shared" si="14"/>
        <v>AUT</v>
      </c>
      <c r="C58">
        <f t="shared" si="14"/>
        <v>0</v>
      </c>
      <c r="D58" t="str">
        <f t="shared" si="14"/>
        <v>IMP</v>
      </c>
      <c r="E58" s="462" t="s">
        <v>612</v>
      </c>
      <c r="F58" s="489">
        <f>'Imp-Aus3'!E$118</f>
        <v>0</v>
      </c>
      <c r="G58" s="430">
        <f>'Imp-Aus3'!F$118</f>
        <v>0</v>
      </c>
      <c r="H58" s="430">
        <f>'Imp-Aus3'!G$118</f>
        <v>0</v>
      </c>
      <c r="I58" s="430">
        <f>'Imp-Aus3'!H$118</f>
        <v>0</v>
      </c>
      <c r="J58" s="430">
        <f>'Imp-Aus3'!I$118</f>
        <v>0</v>
      </c>
      <c r="K58" s="430">
        <f>'Imp-Aus3'!J$118</f>
        <v>0</v>
      </c>
      <c r="L58" s="430">
        <f>'Imp-Aus3'!K$118</f>
        <v>0</v>
      </c>
      <c r="M58" s="430">
        <f>'Imp-Aus3'!L$118</f>
        <v>0</v>
      </c>
      <c r="N58" s="489">
        <f>'Imp-Aus3'!E$119/1000</f>
        <v>0</v>
      </c>
      <c r="O58" s="430">
        <f>'Imp-Aus3'!F$119/1000</f>
        <v>0</v>
      </c>
      <c r="P58" s="430">
        <f>'Imp-Aus3'!G$119/1000</f>
        <v>0</v>
      </c>
      <c r="Q58" s="430">
        <f>'Imp-Aus3'!H$119/1000</f>
        <v>0</v>
      </c>
      <c r="R58" s="430">
        <f>'Imp-Aus3'!I$119/1000</f>
        <v>0</v>
      </c>
      <c r="S58" s="430">
        <f>'Imp-Aus3'!J$119/1000</f>
        <v>0</v>
      </c>
      <c r="T58" s="430">
        <f>'Imp-Aus3'!K$119/1000</f>
        <v>0</v>
      </c>
      <c r="U58" s="430">
        <f>'Imp-Aus3'!L$119/1000</f>
        <v>0</v>
      </c>
      <c r="V58" s="490">
        <f t="shared" si="5"/>
        <v>0</v>
      </c>
      <c r="W58" s="491">
        <f t="shared" si="5"/>
        <v>0</v>
      </c>
      <c r="X58" s="491">
        <f t="shared" si="5"/>
        <v>0</v>
      </c>
      <c r="Y58" s="491">
        <f t="shared" si="5"/>
        <v>0</v>
      </c>
      <c r="Z58" s="491">
        <f t="shared" si="5"/>
        <v>0</v>
      </c>
      <c r="AA58" s="491">
        <f t="shared" si="5"/>
        <v>0</v>
      </c>
      <c r="AB58" s="491">
        <f t="shared" si="5"/>
        <v>0</v>
      </c>
      <c r="AC58" s="492">
        <f t="shared" si="5"/>
        <v>0</v>
      </c>
    </row>
    <row r="59" spans="1:29" x14ac:dyDescent="0.25">
      <c r="A59" s="493" t="str">
        <f t="shared" si="14"/>
        <v>Don't</v>
      </c>
      <c r="B59" s="461" t="str">
        <f t="shared" si="14"/>
        <v>AUT</v>
      </c>
      <c r="C59">
        <f t="shared" si="14"/>
        <v>0</v>
      </c>
      <c r="D59" t="str">
        <f t="shared" si="14"/>
        <v>IMP</v>
      </c>
      <c r="E59" s="462" t="s">
        <v>613</v>
      </c>
      <c r="F59" s="489">
        <f>'Imp-Aus3'!E$123</f>
        <v>0</v>
      </c>
      <c r="G59" s="430">
        <f>'Imp-Aus3'!F$123</f>
        <v>0</v>
      </c>
      <c r="H59" s="430">
        <f>'Imp-Aus3'!G$123</f>
        <v>0</v>
      </c>
      <c r="I59" s="430">
        <f>'Imp-Aus3'!H$123</f>
        <v>0</v>
      </c>
      <c r="J59" s="430">
        <f>'Imp-Aus3'!I$123</f>
        <v>0</v>
      </c>
      <c r="K59" s="430">
        <f>'Imp-Aus3'!J$123</f>
        <v>0</v>
      </c>
      <c r="L59" s="430">
        <f>'Imp-Aus3'!K$123</f>
        <v>0</v>
      </c>
      <c r="M59" s="430">
        <f>'Imp-Aus3'!L$123</f>
        <v>0</v>
      </c>
      <c r="N59" s="489">
        <f>'Imp-Aus3'!E$124/1000</f>
        <v>0</v>
      </c>
      <c r="O59" s="430">
        <f>'Imp-Aus3'!F$124/1000</f>
        <v>0</v>
      </c>
      <c r="P59" s="430">
        <f>'Imp-Aus3'!G$124/1000</f>
        <v>0</v>
      </c>
      <c r="Q59" s="430">
        <f>'Imp-Aus3'!H$124/1000</f>
        <v>0</v>
      </c>
      <c r="R59" s="430">
        <f>'Imp-Aus3'!I$124/1000</f>
        <v>0</v>
      </c>
      <c r="S59" s="430">
        <f>'Imp-Aus3'!J$124/1000</f>
        <v>0</v>
      </c>
      <c r="T59" s="430">
        <f>'Imp-Aus3'!K$124/1000</f>
        <v>0</v>
      </c>
      <c r="U59" s="430">
        <f>'Imp-Aus3'!L$124/1000</f>
        <v>0</v>
      </c>
      <c r="V59" s="490">
        <f t="shared" si="5"/>
        <v>0</v>
      </c>
      <c r="W59" s="491">
        <f t="shared" si="5"/>
        <v>0</v>
      </c>
      <c r="X59" s="491">
        <f t="shared" si="5"/>
        <v>0</v>
      </c>
      <c r="Y59" s="491">
        <f t="shared" si="5"/>
        <v>0</v>
      </c>
      <c r="Z59" s="491">
        <f t="shared" si="5"/>
        <v>0</v>
      </c>
      <c r="AA59" s="491">
        <f t="shared" si="5"/>
        <v>0</v>
      </c>
      <c r="AB59" s="491">
        <f t="shared" si="5"/>
        <v>0</v>
      </c>
      <c r="AC59" s="492">
        <f t="shared" si="5"/>
        <v>0</v>
      </c>
    </row>
    <row r="60" spans="1:29" x14ac:dyDescent="0.25">
      <c r="A60" s="493" t="str">
        <f t="shared" si="14"/>
        <v>Don't</v>
      </c>
      <c r="B60" s="461" t="str">
        <f t="shared" si="14"/>
        <v>AUT</v>
      </c>
      <c r="C60">
        <f t="shared" si="14"/>
        <v>0</v>
      </c>
      <c r="D60" t="str">
        <f t="shared" si="14"/>
        <v>IMP</v>
      </c>
      <c r="E60" s="462" t="s">
        <v>614</v>
      </c>
      <c r="F60" s="489">
        <f>'Imp-Aus3'!E$128</f>
        <v>0</v>
      </c>
      <c r="G60" s="430">
        <f>'Imp-Aus3'!F$128</f>
        <v>0</v>
      </c>
      <c r="H60" s="430">
        <f>'Imp-Aus3'!G$128</f>
        <v>0</v>
      </c>
      <c r="I60" s="430">
        <f>'Imp-Aus3'!H$128</f>
        <v>0</v>
      </c>
      <c r="J60" s="430">
        <f>'Imp-Aus3'!I$128</f>
        <v>0</v>
      </c>
      <c r="K60" s="430">
        <f>'Imp-Aus3'!J$128</f>
        <v>0</v>
      </c>
      <c r="L60" s="430">
        <f>'Imp-Aus3'!K$128</f>
        <v>0</v>
      </c>
      <c r="M60" s="430">
        <f>'Imp-Aus3'!L$128</f>
        <v>0</v>
      </c>
      <c r="N60" s="489">
        <f>'Imp-Aus3'!E$129/1000</f>
        <v>0</v>
      </c>
      <c r="O60" s="430">
        <f>'Imp-Aus3'!F$129/1000</f>
        <v>0</v>
      </c>
      <c r="P60" s="430">
        <f>'Imp-Aus3'!G$129/1000</f>
        <v>0</v>
      </c>
      <c r="Q60" s="430">
        <f>'Imp-Aus3'!H$129/1000</f>
        <v>0</v>
      </c>
      <c r="R60" s="430">
        <f>'Imp-Aus3'!I$129/1000</f>
        <v>0</v>
      </c>
      <c r="S60" s="430">
        <f>'Imp-Aus3'!J$129/1000</f>
        <v>0</v>
      </c>
      <c r="T60" s="430">
        <f>'Imp-Aus3'!K$129/1000</f>
        <v>0</v>
      </c>
      <c r="U60" s="430">
        <f>'Imp-Aus3'!L$129/1000</f>
        <v>0</v>
      </c>
      <c r="V60" s="490">
        <f t="shared" ref="V60:AC91" si="15">(IF(ISERROR(N60/F60),0,N60/F60))*1000</f>
        <v>0</v>
      </c>
      <c r="W60" s="491">
        <f t="shared" si="15"/>
        <v>0</v>
      </c>
      <c r="X60" s="491">
        <f t="shared" si="15"/>
        <v>0</v>
      </c>
      <c r="Y60" s="491">
        <f t="shared" si="15"/>
        <v>0</v>
      </c>
      <c r="Z60" s="491">
        <f t="shared" si="15"/>
        <v>0</v>
      </c>
      <c r="AA60" s="491">
        <f t="shared" si="15"/>
        <v>0</v>
      </c>
      <c r="AB60" s="491">
        <f t="shared" si="15"/>
        <v>0</v>
      </c>
      <c r="AC60" s="492">
        <f t="shared" si="15"/>
        <v>0</v>
      </c>
    </row>
    <row r="61" spans="1:29" x14ac:dyDescent="0.25">
      <c r="A61" s="493" t="str">
        <f t="shared" si="14"/>
        <v>Don't</v>
      </c>
      <c r="B61" s="461" t="str">
        <f t="shared" si="14"/>
        <v>AUT</v>
      </c>
      <c r="C61">
        <f t="shared" si="14"/>
        <v>0</v>
      </c>
      <c r="D61" t="str">
        <f t="shared" si="14"/>
        <v>IMP</v>
      </c>
      <c r="E61" s="462" t="s">
        <v>615</v>
      </c>
      <c r="F61" s="489">
        <f>'Imp-Aus3'!E$133</f>
        <v>0</v>
      </c>
      <c r="G61" s="430">
        <f>'Imp-Aus3'!F$133</f>
        <v>0</v>
      </c>
      <c r="H61" s="430">
        <f>'Imp-Aus3'!G$133</f>
        <v>0</v>
      </c>
      <c r="I61" s="430">
        <f>'Imp-Aus3'!H$133</f>
        <v>0</v>
      </c>
      <c r="J61" s="430">
        <f>'Imp-Aus3'!I$133</f>
        <v>0</v>
      </c>
      <c r="K61" s="430">
        <f>'Imp-Aus3'!J$133</f>
        <v>0</v>
      </c>
      <c r="L61" s="430">
        <f>'Imp-Aus3'!K$133</f>
        <v>0</v>
      </c>
      <c r="M61" s="430">
        <f>'Imp-Aus3'!L$133</f>
        <v>0</v>
      </c>
      <c r="N61" s="489">
        <f>'Imp-Aus3'!E$134/1000</f>
        <v>0</v>
      </c>
      <c r="O61" s="430">
        <f>'Imp-Aus3'!F$134/1000</f>
        <v>0</v>
      </c>
      <c r="P61" s="430">
        <f>'Imp-Aus3'!G$134/1000</f>
        <v>0</v>
      </c>
      <c r="Q61" s="430">
        <f>'Imp-Aus3'!H$134/1000</f>
        <v>0</v>
      </c>
      <c r="R61" s="430">
        <f>'Imp-Aus3'!I$134/1000</f>
        <v>0</v>
      </c>
      <c r="S61" s="430">
        <f>'Imp-Aus3'!J$134/1000</f>
        <v>0</v>
      </c>
      <c r="T61" s="430">
        <f>'Imp-Aus3'!K$134/1000</f>
        <v>0</v>
      </c>
      <c r="U61" s="430">
        <f>'Imp-Aus3'!L$134/1000</f>
        <v>0</v>
      </c>
      <c r="V61" s="490">
        <f t="shared" si="15"/>
        <v>0</v>
      </c>
      <c r="W61" s="491">
        <f t="shared" si="15"/>
        <v>0</v>
      </c>
      <c r="X61" s="491">
        <f t="shared" si="15"/>
        <v>0</v>
      </c>
      <c r="Y61" s="491">
        <f t="shared" si="15"/>
        <v>0</v>
      </c>
      <c r="Z61" s="491">
        <f t="shared" si="15"/>
        <v>0</v>
      </c>
      <c r="AA61" s="491">
        <f t="shared" si="15"/>
        <v>0</v>
      </c>
      <c r="AB61" s="491">
        <f t="shared" si="15"/>
        <v>0</v>
      </c>
      <c r="AC61" s="492">
        <f t="shared" si="15"/>
        <v>0</v>
      </c>
    </row>
    <row r="62" spans="1:29" x14ac:dyDescent="0.25">
      <c r="A62" s="493" t="str">
        <f t="shared" si="14"/>
        <v>Don't</v>
      </c>
      <c r="B62" s="461" t="str">
        <f t="shared" si="14"/>
        <v>AUT</v>
      </c>
      <c r="C62">
        <f t="shared" si="14"/>
        <v>0</v>
      </c>
      <c r="D62" t="str">
        <f t="shared" si="14"/>
        <v>IMP</v>
      </c>
      <c r="E62" s="462" t="s">
        <v>616</v>
      </c>
      <c r="F62" s="489">
        <f>'Imp-Aus3'!E$138</f>
        <v>0</v>
      </c>
      <c r="G62" s="430">
        <f>'Imp-Aus3'!F$138</f>
        <v>0</v>
      </c>
      <c r="H62" s="430">
        <f>'Imp-Aus3'!G$138</f>
        <v>0</v>
      </c>
      <c r="I62" s="430">
        <f>'Imp-Aus3'!H$138</f>
        <v>0</v>
      </c>
      <c r="J62" s="430">
        <f>'Imp-Aus3'!I$138</f>
        <v>0</v>
      </c>
      <c r="K62" s="430">
        <f>'Imp-Aus3'!J$138</f>
        <v>0</v>
      </c>
      <c r="L62" s="430">
        <f>'Imp-Aus3'!K$138</f>
        <v>0</v>
      </c>
      <c r="M62" s="430">
        <f>'Imp-Aus3'!L$138</f>
        <v>0</v>
      </c>
      <c r="N62" s="489">
        <f>'Imp-Aus3'!E$139/1000</f>
        <v>0</v>
      </c>
      <c r="O62" s="430">
        <f>'Imp-Aus3'!F$139/1000</f>
        <v>0</v>
      </c>
      <c r="P62" s="430">
        <f>'Imp-Aus3'!G$139/1000</f>
        <v>0</v>
      </c>
      <c r="Q62" s="430">
        <f>'Imp-Aus3'!H$139/1000</f>
        <v>0</v>
      </c>
      <c r="R62" s="430">
        <f>'Imp-Aus3'!I$139/1000</f>
        <v>0</v>
      </c>
      <c r="S62" s="430">
        <f>'Imp-Aus3'!J$139/1000</f>
        <v>0</v>
      </c>
      <c r="T62" s="430">
        <f>'Imp-Aus3'!K$139/1000</f>
        <v>0</v>
      </c>
      <c r="U62" s="430">
        <f>'Imp-Aus3'!L$139/1000</f>
        <v>0</v>
      </c>
      <c r="V62" s="490">
        <f t="shared" si="15"/>
        <v>0</v>
      </c>
      <c r="W62" s="491">
        <f t="shared" si="15"/>
        <v>0</v>
      </c>
      <c r="X62" s="491">
        <f t="shared" si="15"/>
        <v>0</v>
      </c>
      <c r="Y62" s="491">
        <f t="shared" si="15"/>
        <v>0</v>
      </c>
      <c r="Z62" s="491">
        <f t="shared" si="15"/>
        <v>0</v>
      </c>
      <c r="AA62" s="491">
        <f t="shared" si="15"/>
        <v>0</v>
      </c>
      <c r="AB62" s="491">
        <f t="shared" si="15"/>
        <v>0</v>
      </c>
      <c r="AC62" s="492">
        <f t="shared" si="15"/>
        <v>0</v>
      </c>
    </row>
    <row r="63" spans="1:29" x14ac:dyDescent="0.25">
      <c r="A63" s="493" t="str">
        <f t="shared" si="14"/>
        <v>Don't</v>
      </c>
      <c r="B63" s="461" t="str">
        <f t="shared" si="14"/>
        <v>AUT</v>
      </c>
      <c r="C63">
        <f t="shared" si="14"/>
        <v>0</v>
      </c>
      <c r="D63" t="str">
        <f t="shared" si="14"/>
        <v>IMP</v>
      </c>
      <c r="E63" s="462" t="s">
        <v>617</v>
      </c>
      <c r="F63" s="489">
        <f>'Imp-Aus3'!E$143</f>
        <v>0</v>
      </c>
      <c r="G63" s="430">
        <f>'Imp-Aus3'!F$143</f>
        <v>0</v>
      </c>
      <c r="H63" s="430">
        <f>'Imp-Aus3'!G$143</f>
        <v>0</v>
      </c>
      <c r="I63" s="430">
        <f>'Imp-Aus3'!H$143</f>
        <v>0</v>
      </c>
      <c r="J63" s="430">
        <f>'Imp-Aus3'!I$143</f>
        <v>0</v>
      </c>
      <c r="K63" s="430">
        <f>'Imp-Aus3'!J$143</f>
        <v>0</v>
      </c>
      <c r="L63" s="430">
        <f>'Imp-Aus3'!K$143</f>
        <v>0</v>
      </c>
      <c r="M63" s="430">
        <f>'Imp-Aus3'!L$143</f>
        <v>0</v>
      </c>
      <c r="N63" s="489">
        <f>'Imp-Aus3'!E$144/1000</f>
        <v>0</v>
      </c>
      <c r="O63" s="430">
        <f>'Imp-Aus3'!F$144/1000</f>
        <v>0</v>
      </c>
      <c r="P63" s="430">
        <f>'Imp-Aus3'!G$144/1000</f>
        <v>0</v>
      </c>
      <c r="Q63" s="430">
        <f>'Imp-Aus3'!H$144/1000</f>
        <v>0</v>
      </c>
      <c r="R63" s="430">
        <f>'Imp-Aus3'!I$144/1000</f>
        <v>0</v>
      </c>
      <c r="S63" s="430">
        <f>'Imp-Aus3'!J$144/1000</f>
        <v>0</v>
      </c>
      <c r="T63" s="430">
        <f>'Imp-Aus3'!K$144/1000</f>
        <v>0</v>
      </c>
      <c r="U63" s="430">
        <f>'Imp-Aus3'!L$144/1000</f>
        <v>0</v>
      </c>
      <c r="V63" s="490">
        <f t="shared" si="15"/>
        <v>0</v>
      </c>
      <c r="W63" s="491">
        <f t="shared" si="15"/>
        <v>0</v>
      </c>
      <c r="X63" s="491">
        <f t="shared" si="15"/>
        <v>0</v>
      </c>
      <c r="Y63" s="491">
        <f t="shared" si="15"/>
        <v>0</v>
      </c>
      <c r="Z63" s="491">
        <f t="shared" si="15"/>
        <v>0</v>
      </c>
      <c r="AA63" s="491">
        <f t="shared" si="15"/>
        <v>0</v>
      </c>
      <c r="AB63" s="491">
        <f t="shared" si="15"/>
        <v>0</v>
      </c>
      <c r="AC63" s="492">
        <f t="shared" si="15"/>
        <v>0</v>
      </c>
    </row>
    <row r="64" spans="1:29" x14ac:dyDescent="0.25">
      <c r="A64" s="493" t="str">
        <f t="shared" si="14"/>
        <v>Don't</v>
      </c>
      <c r="B64" s="461" t="str">
        <f t="shared" si="14"/>
        <v>AUT</v>
      </c>
      <c r="C64">
        <f t="shared" si="14"/>
        <v>0</v>
      </c>
      <c r="D64" t="s">
        <v>618</v>
      </c>
      <c r="E64" s="462" t="str">
        <f t="shared" ref="E64:E69" si="16">E54</f>
        <v>BMP 1</v>
      </c>
      <c r="F64" s="489">
        <f>'Imp-Aus3'!E$169</f>
        <v>0</v>
      </c>
      <c r="G64" s="430">
        <f>'Imp-Aus3'!F$169</f>
        <v>0</v>
      </c>
      <c r="H64" s="430">
        <f>'Imp-Aus3'!G$169</f>
        <v>0</v>
      </c>
      <c r="I64" s="430">
        <f>'Imp-Aus3'!H$169</f>
        <v>0</v>
      </c>
      <c r="J64" s="430">
        <f>'Imp-Aus3'!I$169</f>
        <v>0</v>
      </c>
      <c r="K64" s="430">
        <f>'Imp-Aus3'!J$169</f>
        <v>0</v>
      </c>
      <c r="L64" s="430">
        <f>'Imp-Aus3'!K$169</f>
        <v>0</v>
      </c>
      <c r="M64" s="430">
        <f>'Imp-Aus3'!L$169</f>
        <v>0</v>
      </c>
      <c r="N64" s="489">
        <f>'Imp-Aus3'!E$170/1000</f>
        <v>0</v>
      </c>
      <c r="O64" s="430">
        <f>'Imp-Aus3'!F$170/1000</f>
        <v>0</v>
      </c>
      <c r="P64" s="430">
        <f>'Imp-Aus3'!G$170/1000</f>
        <v>0</v>
      </c>
      <c r="Q64" s="430">
        <f>'Imp-Aus3'!H$170/1000</f>
        <v>0</v>
      </c>
      <c r="R64" s="430">
        <f>'Imp-Aus3'!I$170/1000</f>
        <v>0</v>
      </c>
      <c r="S64" s="430">
        <f>'Imp-Aus3'!J$170/1000</f>
        <v>0</v>
      </c>
      <c r="T64" s="430">
        <f>'Imp-Aus3'!K$170/1000</f>
        <v>0</v>
      </c>
      <c r="U64" s="430">
        <f>'Imp-Aus3'!L$170/1000</f>
        <v>0</v>
      </c>
      <c r="V64" s="490">
        <f t="shared" si="15"/>
        <v>0</v>
      </c>
      <c r="W64" s="491">
        <f t="shared" si="15"/>
        <v>0</v>
      </c>
      <c r="X64" s="491">
        <f t="shared" si="15"/>
        <v>0</v>
      </c>
      <c r="Y64" s="491">
        <f t="shared" si="15"/>
        <v>0</v>
      </c>
      <c r="Z64" s="491">
        <f t="shared" si="15"/>
        <v>0</v>
      </c>
      <c r="AA64" s="491">
        <f t="shared" si="15"/>
        <v>0</v>
      </c>
      <c r="AB64" s="491">
        <f t="shared" si="15"/>
        <v>0</v>
      </c>
      <c r="AC64" s="492">
        <f t="shared" si="15"/>
        <v>0</v>
      </c>
    </row>
    <row r="65" spans="1:29" x14ac:dyDescent="0.25">
      <c r="A65" s="493" t="str">
        <f t="shared" si="14"/>
        <v>Don't</v>
      </c>
      <c r="B65" s="461" t="str">
        <f t="shared" si="14"/>
        <v>AUT</v>
      </c>
      <c r="C65">
        <f t="shared" si="14"/>
        <v>0</v>
      </c>
      <c r="D65" t="str">
        <f>D64</f>
        <v>IMP SLS</v>
      </c>
      <c r="E65" s="462" t="str">
        <f t="shared" si="16"/>
        <v>BMP 2</v>
      </c>
      <c r="F65" s="489">
        <f>'Imp-Aus3'!E$174</f>
        <v>0</v>
      </c>
      <c r="G65" s="430">
        <f>'Imp-Aus3'!F$174</f>
        <v>0</v>
      </c>
      <c r="H65" s="430">
        <f>'Imp-Aus3'!G$174</f>
        <v>0</v>
      </c>
      <c r="I65" s="430">
        <f>'Imp-Aus3'!H$174</f>
        <v>0</v>
      </c>
      <c r="J65" s="430">
        <f>'Imp-Aus3'!I$174</f>
        <v>0</v>
      </c>
      <c r="K65" s="430">
        <f>'Imp-Aus3'!J$174</f>
        <v>0</v>
      </c>
      <c r="L65" s="430">
        <f>'Imp-Aus3'!K$174</f>
        <v>0</v>
      </c>
      <c r="M65" s="430">
        <f>'Imp-Aus3'!L$174</f>
        <v>0</v>
      </c>
      <c r="N65" s="489">
        <f>'Imp-Aus3'!E$175/1000</f>
        <v>0</v>
      </c>
      <c r="O65" s="430">
        <f>'Imp-Aus3'!F$175/1000</f>
        <v>0</v>
      </c>
      <c r="P65" s="430">
        <f>'Imp-Aus3'!G$175/1000</f>
        <v>0</v>
      </c>
      <c r="Q65" s="430">
        <f>'Imp-Aus3'!H$175/1000</f>
        <v>0</v>
      </c>
      <c r="R65" s="430">
        <f>'Imp-Aus3'!I$175/1000</f>
        <v>0</v>
      </c>
      <c r="S65" s="430">
        <f>'Imp-Aus3'!J$175/1000</f>
        <v>0</v>
      </c>
      <c r="T65" s="430">
        <f>'Imp-Aus3'!K$175/1000</f>
        <v>0</v>
      </c>
      <c r="U65" s="430">
        <f>'Imp-Aus3'!L$175/1000</f>
        <v>0</v>
      </c>
      <c r="V65" s="490">
        <f t="shared" si="15"/>
        <v>0</v>
      </c>
      <c r="W65" s="491">
        <f t="shared" si="15"/>
        <v>0</v>
      </c>
      <c r="X65" s="491">
        <f t="shared" si="15"/>
        <v>0</v>
      </c>
      <c r="Y65" s="491">
        <f t="shared" si="15"/>
        <v>0</v>
      </c>
      <c r="Z65" s="491">
        <f t="shared" si="15"/>
        <v>0</v>
      </c>
      <c r="AA65" s="491">
        <f t="shared" si="15"/>
        <v>0</v>
      </c>
      <c r="AB65" s="491">
        <f t="shared" si="15"/>
        <v>0</v>
      </c>
      <c r="AC65" s="492">
        <f t="shared" si="15"/>
        <v>0</v>
      </c>
    </row>
    <row r="66" spans="1:29" x14ac:dyDescent="0.25">
      <c r="A66" s="493" t="str">
        <f t="shared" si="14"/>
        <v>Don't</v>
      </c>
      <c r="B66" s="461" t="str">
        <f t="shared" si="14"/>
        <v>AUT</v>
      </c>
      <c r="C66">
        <f t="shared" si="14"/>
        <v>0</v>
      </c>
      <c r="D66" t="str">
        <f t="shared" si="14"/>
        <v>IMP SLS</v>
      </c>
      <c r="E66" s="462" t="str">
        <f t="shared" si="16"/>
        <v>BMP 3</v>
      </c>
      <c r="F66" s="489">
        <f>'Imp-Aus3'!E$179</f>
        <v>0</v>
      </c>
      <c r="G66" s="430">
        <f>'Imp-Aus3'!F$179</f>
        <v>0</v>
      </c>
      <c r="H66" s="430">
        <f>'Imp-Aus3'!G$179</f>
        <v>0</v>
      </c>
      <c r="I66" s="430">
        <f>'Imp-Aus3'!H$179</f>
        <v>0</v>
      </c>
      <c r="J66" s="430">
        <f>'Imp-Aus3'!I$179</f>
        <v>0</v>
      </c>
      <c r="K66" s="430">
        <f>'Imp-Aus3'!J$179</f>
        <v>0</v>
      </c>
      <c r="L66" s="430">
        <f>'Imp-Aus3'!K$179</f>
        <v>0</v>
      </c>
      <c r="M66" s="430">
        <f>'Imp-Aus3'!L$179</f>
        <v>0</v>
      </c>
      <c r="N66" s="489">
        <f>'Imp-Aus3'!E$180/1000</f>
        <v>0</v>
      </c>
      <c r="O66" s="430">
        <f>'Imp-Aus3'!F$180/1000</f>
        <v>0</v>
      </c>
      <c r="P66" s="430">
        <f>'Imp-Aus3'!G$180/1000</f>
        <v>0</v>
      </c>
      <c r="Q66" s="430">
        <f>'Imp-Aus3'!H$180/1000</f>
        <v>0</v>
      </c>
      <c r="R66" s="430">
        <f>'Imp-Aus3'!I$180/1000</f>
        <v>0</v>
      </c>
      <c r="S66" s="430">
        <f>'Imp-Aus3'!J$180/1000</f>
        <v>0</v>
      </c>
      <c r="T66" s="430">
        <f>'Imp-Aus3'!K$180/1000</f>
        <v>0</v>
      </c>
      <c r="U66" s="430">
        <f>'Imp-Aus3'!L$180/1000</f>
        <v>0</v>
      </c>
      <c r="V66" s="490">
        <f t="shared" si="15"/>
        <v>0</v>
      </c>
      <c r="W66" s="491">
        <f t="shared" si="15"/>
        <v>0</v>
      </c>
      <c r="X66" s="491">
        <f t="shared" si="15"/>
        <v>0</v>
      </c>
      <c r="Y66" s="491">
        <f t="shared" si="15"/>
        <v>0</v>
      </c>
      <c r="Z66" s="491">
        <f t="shared" si="15"/>
        <v>0</v>
      </c>
      <c r="AA66" s="491">
        <f t="shared" si="15"/>
        <v>0</v>
      </c>
      <c r="AB66" s="491">
        <f t="shared" si="15"/>
        <v>0</v>
      </c>
      <c r="AC66" s="492">
        <f t="shared" si="15"/>
        <v>0</v>
      </c>
    </row>
    <row r="67" spans="1:29" x14ac:dyDescent="0.25">
      <c r="A67" s="493" t="str">
        <f t="shared" si="14"/>
        <v>Don't</v>
      </c>
      <c r="B67" s="461" t="str">
        <f>B66</f>
        <v>AUT</v>
      </c>
      <c r="C67">
        <f t="shared" si="14"/>
        <v>0</v>
      </c>
      <c r="D67" t="str">
        <f t="shared" si="14"/>
        <v>IMP SLS</v>
      </c>
      <c r="E67" s="462" t="str">
        <f t="shared" si="16"/>
        <v>BMP 4</v>
      </c>
      <c r="F67" s="489">
        <f>'Imp-Aus3'!E$184</f>
        <v>0</v>
      </c>
      <c r="G67" s="430">
        <f>'Imp-Aus3'!F$184</f>
        <v>0</v>
      </c>
      <c r="H67" s="430">
        <f>'Imp-Aus3'!G$184</f>
        <v>0</v>
      </c>
      <c r="I67" s="430">
        <f>'Imp-Aus3'!H$184</f>
        <v>0</v>
      </c>
      <c r="J67" s="430">
        <f>'Imp-Aus3'!I$184</f>
        <v>0</v>
      </c>
      <c r="K67" s="430">
        <f>'Imp-Aus3'!J$184</f>
        <v>0</v>
      </c>
      <c r="L67" s="430">
        <f>'Imp-Aus3'!K$184</f>
        <v>0</v>
      </c>
      <c r="M67" s="430">
        <f>'Imp-Aus3'!L$184</f>
        <v>0</v>
      </c>
      <c r="N67" s="489">
        <f>'Imp-Aus3'!E$185/1000</f>
        <v>0</v>
      </c>
      <c r="O67" s="430">
        <f>'Imp-Aus3'!F$185/1000</f>
        <v>0</v>
      </c>
      <c r="P67" s="430">
        <f>'Imp-Aus3'!G$185/1000</f>
        <v>0</v>
      </c>
      <c r="Q67" s="430">
        <f>'Imp-Aus3'!H$185/1000</f>
        <v>0</v>
      </c>
      <c r="R67" s="430">
        <f>'Imp-Aus3'!I$185/1000</f>
        <v>0</v>
      </c>
      <c r="S67" s="430">
        <f>'Imp-Aus3'!J$185/1000</f>
        <v>0</v>
      </c>
      <c r="T67" s="430">
        <f>'Imp-Aus3'!K$185/1000</f>
        <v>0</v>
      </c>
      <c r="U67" s="430">
        <f>'Imp-Aus3'!L$185/1000</f>
        <v>0</v>
      </c>
      <c r="V67" s="490">
        <f t="shared" si="15"/>
        <v>0</v>
      </c>
      <c r="W67" s="491">
        <f t="shared" si="15"/>
        <v>0</v>
      </c>
      <c r="X67" s="491">
        <f t="shared" si="15"/>
        <v>0</v>
      </c>
      <c r="Y67" s="491">
        <f t="shared" si="15"/>
        <v>0</v>
      </c>
      <c r="Z67" s="491">
        <f t="shared" si="15"/>
        <v>0</v>
      </c>
      <c r="AA67" s="491">
        <f t="shared" si="15"/>
        <v>0</v>
      </c>
      <c r="AB67" s="491">
        <f t="shared" si="15"/>
        <v>0</v>
      </c>
      <c r="AC67" s="492">
        <f t="shared" si="15"/>
        <v>0</v>
      </c>
    </row>
    <row r="68" spans="1:29" x14ac:dyDescent="0.25">
      <c r="A68" s="493" t="str">
        <f t="shared" si="14"/>
        <v>Don't</v>
      </c>
      <c r="B68" s="461" t="str">
        <f>B67</f>
        <v>AUT</v>
      </c>
      <c r="C68">
        <f t="shared" si="14"/>
        <v>0</v>
      </c>
      <c r="D68" t="str">
        <f t="shared" si="14"/>
        <v>IMP SLS</v>
      </c>
      <c r="E68" s="462" t="str">
        <f t="shared" si="16"/>
        <v>BMP 5</v>
      </c>
      <c r="F68" s="489">
        <f>'Imp-Aus3'!E$189</f>
        <v>0</v>
      </c>
      <c r="G68" s="430">
        <f>'Imp-Aus3'!F$189</f>
        <v>0</v>
      </c>
      <c r="H68" s="430">
        <f>'Imp-Aus3'!G$189</f>
        <v>0</v>
      </c>
      <c r="I68" s="430">
        <f>'Imp-Aus3'!H$189</f>
        <v>0</v>
      </c>
      <c r="J68" s="430">
        <f>'Imp-Aus3'!I$189</f>
        <v>0</v>
      </c>
      <c r="K68" s="430">
        <f>'Imp-Aus3'!J$189</f>
        <v>0</v>
      </c>
      <c r="L68" s="430">
        <f>'Imp-Aus3'!K$189</f>
        <v>0</v>
      </c>
      <c r="M68" s="430">
        <f>'Imp-Aus3'!L$189</f>
        <v>0</v>
      </c>
      <c r="N68" s="489">
        <f>'Imp-Aus3'!E$190/1000</f>
        <v>0</v>
      </c>
      <c r="O68" s="430">
        <f>'Imp-Aus3'!F$190/1000</f>
        <v>0</v>
      </c>
      <c r="P68" s="430">
        <f>'Imp-Aus3'!G$190/1000</f>
        <v>0</v>
      </c>
      <c r="Q68" s="430">
        <f>'Imp-Aus3'!H$190/1000</f>
        <v>0</v>
      </c>
      <c r="R68" s="430">
        <f>'Imp-Aus3'!I$190/1000</f>
        <v>0</v>
      </c>
      <c r="S68" s="430">
        <f>'Imp-Aus3'!J$190/1000</f>
        <v>0</v>
      </c>
      <c r="T68" s="430">
        <f>'Imp-Aus3'!K$190/1000</f>
        <v>0</v>
      </c>
      <c r="U68" s="430">
        <f>'Imp-Aus3'!L$190/1000</f>
        <v>0</v>
      </c>
      <c r="V68" s="490">
        <f t="shared" si="15"/>
        <v>0</v>
      </c>
      <c r="W68" s="491">
        <f t="shared" si="15"/>
        <v>0</v>
      </c>
      <c r="X68" s="491">
        <f t="shared" si="15"/>
        <v>0</v>
      </c>
      <c r="Y68" s="491">
        <f t="shared" si="15"/>
        <v>0</v>
      </c>
      <c r="Z68" s="491">
        <f t="shared" si="15"/>
        <v>0</v>
      </c>
      <c r="AA68" s="491">
        <f t="shared" si="15"/>
        <v>0</v>
      </c>
      <c r="AB68" s="491">
        <f t="shared" si="15"/>
        <v>0</v>
      </c>
      <c r="AC68" s="492">
        <f t="shared" si="15"/>
        <v>0</v>
      </c>
    </row>
    <row r="69" spans="1:29" x14ac:dyDescent="0.25">
      <c r="A69" s="493" t="str">
        <f t="shared" si="14"/>
        <v>Don't</v>
      </c>
      <c r="B69" s="461" t="str">
        <f>B68</f>
        <v>AUT</v>
      </c>
      <c r="C69">
        <f t="shared" si="14"/>
        <v>0</v>
      </c>
      <c r="D69" t="str">
        <f t="shared" si="14"/>
        <v>IMP SLS</v>
      </c>
      <c r="E69" s="462" t="str">
        <f t="shared" si="16"/>
        <v>BMP 6</v>
      </c>
      <c r="F69" s="489">
        <f>'Imp-Aus3'!E$194</f>
        <v>0</v>
      </c>
      <c r="G69" s="430">
        <f>'Imp-Aus3'!F$194</f>
        <v>0</v>
      </c>
      <c r="H69" s="430">
        <f>'Imp-Aus3'!G$194</f>
        <v>0</v>
      </c>
      <c r="I69" s="430">
        <f>'Imp-Aus3'!H$194</f>
        <v>0</v>
      </c>
      <c r="J69" s="430">
        <f>'Imp-Aus3'!I$194</f>
        <v>0</v>
      </c>
      <c r="K69" s="430">
        <f>'Imp-Aus3'!J$194</f>
        <v>0</v>
      </c>
      <c r="L69" s="430">
        <f>'Imp-Aus3'!K$194</f>
        <v>0</v>
      </c>
      <c r="M69" s="430">
        <f>'Imp-Aus3'!L$194</f>
        <v>0</v>
      </c>
      <c r="N69" s="489">
        <f>'Imp-Aus3'!E$195/1000</f>
        <v>0</v>
      </c>
      <c r="O69" s="430">
        <f>'Imp-Aus3'!F$195/1000</f>
        <v>0</v>
      </c>
      <c r="P69" s="430">
        <f>'Imp-Aus3'!G$195/1000</f>
        <v>0</v>
      </c>
      <c r="Q69" s="430">
        <f>'Imp-Aus3'!H$195/1000</f>
        <v>0</v>
      </c>
      <c r="R69" s="430">
        <f>'Imp-Aus3'!I$195/1000</f>
        <v>0</v>
      </c>
      <c r="S69" s="430">
        <f>'Imp-Aus3'!J$195/1000</f>
        <v>0</v>
      </c>
      <c r="T69" s="430">
        <f>'Imp-Aus3'!K$195/1000</f>
        <v>0</v>
      </c>
      <c r="U69" s="430">
        <f>'Imp-Aus3'!L$195/1000</f>
        <v>0</v>
      </c>
      <c r="V69" s="490">
        <f t="shared" si="15"/>
        <v>0</v>
      </c>
      <c r="W69" s="491">
        <f t="shared" si="15"/>
        <v>0</v>
      </c>
      <c r="X69" s="491">
        <f t="shared" si="15"/>
        <v>0</v>
      </c>
      <c r="Y69" s="491">
        <f t="shared" si="15"/>
        <v>0</v>
      </c>
      <c r="Z69" s="491">
        <f t="shared" si="15"/>
        <v>0</v>
      </c>
      <c r="AA69" s="491">
        <f t="shared" si="15"/>
        <v>0</v>
      </c>
      <c r="AB69" s="491">
        <f t="shared" si="15"/>
        <v>0</v>
      </c>
      <c r="AC69" s="492">
        <f t="shared" si="15"/>
        <v>0</v>
      </c>
    </row>
    <row r="70" spans="1:29" x14ac:dyDescent="0.25">
      <c r="A70" s="493" t="str">
        <f t="shared" si="14"/>
        <v>Don't</v>
      </c>
      <c r="B70" s="461" t="str">
        <f t="shared" si="14"/>
        <v>AUT</v>
      </c>
      <c r="C70">
        <f t="shared" si="14"/>
        <v>0</v>
      </c>
      <c r="D70" t="str">
        <f t="shared" si="14"/>
        <v>IMP SLS</v>
      </c>
      <c r="E70" s="462" t="str">
        <f t="shared" ref="E70:E73" si="17">E60</f>
        <v>BMP 7</v>
      </c>
      <c r="F70" s="489">
        <f>'Imp-Aus3'!E$199</f>
        <v>0</v>
      </c>
      <c r="G70" s="430">
        <f>'Imp-Aus3'!F$199</f>
        <v>0</v>
      </c>
      <c r="H70" s="430">
        <f>'Imp-Aus3'!G$199</f>
        <v>0</v>
      </c>
      <c r="I70" s="430">
        <f>'Imp-Aus3'!H$199</f>
        <v>0</v>
      </c>
      <c r="J70" s="430">
        <f>'Imp-Aus3'!I$199</f>
        <v>0</v>
      </c>
      <c r="K70" s="430">
        <f>'Imp-Aus3'!J$199</f>
        <v>0</v>
      </c>
      <c r="L70" s="430">
        <f>'Imp-Aus3'!K$199</f>
        <v>0</v>
      </c>
      <c r="M70" s="430">
        <f>'Imp-Aus3'!L$199</f>
        <v>0</v>
      </c>
      <c r="N70" s="489">
        <f>'Imp-Aus3'!E$200/1000</f>
        <v>0</v>
      </c>
      <c r="O70" s="430">
        <f>'Imp-Aus3'!F$200/1000</f>
        <v>0</v>
      </c>
      <c r="P70" s="430">
        <f>'Imp-Aus3'!G$200/1000</f>
        <v>0</v>
      </c>
      <c r="Q70" s="430">
        <f>'Imp-Aus3'!H$200/1000</f>
        <v>0</v>
      </c>
      <c r="R70" s="430">
        <f>'Imp-Aus3'!I$200/1000</f>
        <v>0</v>
      </c>
      <c r="S70" s="430">
        <f>'Imp-Aus3'!J$200/1000</f>
        <v>0</v>
      </c>
      <c r="T70" s="430">
        <f>'Imp-Aus3'!K$200/1000</f>
        <v>0</v>
      </c>
      <c r="U70" s="430">
        <f>'Imp-Aus3'!L$200/1000</f>
        <v>0</v>
      </c>
      <c r="V70" s="490">
        <f t="shared" si="15"/>
        <v>0</v>
      </c>
      <c r="W70" s="491">
        <f t="shared" si="15"/>
        <v>0</v>
      </c>
      <c r="X70" s="491">
        <f t="shared" si="15"/>
        <v>0</v>
      </c>
      <c r="Y70" s="491">
        <f t="shared" si="15"/>
        <v>0</v>
      </c>
      <c r="Z70" s="491">
        <f t="shared" si="15"/>
        <v>0</v>
      </c>
      <c r="AA70" s="491">
        <f t="shared" si="15"/>
        <v>0</v>
      </c>
      <c r="AB70" s="491">
        <f t="shared" si="15"/>
        <v>0</v>
      </c>
      <c r="AC70" s="492">
        <f t="shared" si="15"/>
        <v>0</v>
      </c>
    </row>
    <row r="71" spans="1:29" x14ac:dyDescent="0.25">
      <c r="A71" s="493" t="str">
        <f t="shared" si="14"/>
        <v>Don't</v>
      </c>
      <c r="B71" s="461" t="str">
        <f t="shared" si="14"/>
        <v>AUT</v>
      </c>
      <c r="C71">
        <f t="shared" si="14"/>
        <v>0</v>
      </c>
      <c r="D71" t="str">
        <f t="shared" si="14"/>
        <v>IMP SLS</v>
      </c>
      <c r="E71" s="462" t="str">
        <f t="shared" si="17"/>
        <v>BMP 8</v>
      </c>
      <c r="F71" s="489">
        <f>'Imp-Aus3'!E$204</f>
        <v>0</v>
      </c>
      <c r="G71" s="430">
        <f>'Imp-Aus3'!F$204</f>
        <v>0</v>
      </c>
      <c r="H71" s="430">
        <f>'Imp-Aus3'!G$204</f>
        <v>0</v>
      </c>
      <c r="I71" s="430">
        <f>'Imp-Aus3'!H$204</f>
        <v>0</v>
      </c>
      <c r="J71" s="430">
        <f>'Imp-Aus3'!I$204</f>
        <v>0</v>
      </c>
      <c r="K71" s="430">
        <f>'Imp-Aus3'!J$204</f>
        <v>0</v>
      </c>
      <c r="L71" s="430">
        <f>'Imp-Aus3'!K$204</f>
        <v>0</v>
      </c>
      <c r="M71" s="430">
        <f>'Imp-Aus3'!L$204</f>
        <v>0</v>
      </c>
      <c r="N71" s="489">
        <f>'Imp-Aus3'!E$205/1000</f>
        <v>0</v>
      </c>
      <c r="O71" s="430">
        <f>'Imp-Aus3'!F$205/1000</f>
        <v>0</v>
      </c>
      <c r="P71" s="430">
        <f>'Imp-Aus3'!G$205/1000</f>
        <v>0</v>
      </c>
      <c r="Q71" s="430">
        <f>'Imp-Aus3'!H$205/1000</f>
        <v>0</v>
      </c>
      <c r="R71" s="430">
        <f>'Imp-Aus3'!I$205/1000</f>
        <v>0</v>
      </c>
      <c r="S71" s="430">
        <f>'Imp-Aus3'!J$205/1000</f>
        <v>0</v>
      </c>
      <c r="T71" s="430">
        <f>'Imp-Aus3'!K$205/1000</f>
        <v>0</v>
      </c>
      <c r="U71" s="430">
        <f>'Imp-Aus3'!L$205/1000</f>
        <v>0</v>
      </c>
      <c r="V71" s="490">
        <f t="shared" si="15"/>
        <v>0</v>
      </c>
      <c r="W71" s="491">
        <f t="shared" si="15"/>
        <v>0</v>
      </c>
      <c r="X71" s="491">
        <f t="shared" si="15"/>
        <v>0</v>
      </c>
      <c r="Y71" s="491">
        <f t="shared" si="15"/>
        <v>0</v>
      </c>
      <c r="Z71" s="491">
        <f t="shared" si="15"/>
        <v>0</v>
      </c>
      <c r="AA71" s="491">
        <f t="shared" si="15"/>
        <v>0</v>
      </c>
      <c r="AB71" s="491">
        <f t="shared" si="15"/>
        <v>0</v>
      </c>
      <c r="AC71" s="492">
        <f t="shared" si="15"/>
        <v>0</v>
      </c>
    </row>
    <row r="72" spans="1:29" x14ac:dyDescent="0.25">
      <c r="A72" s="493" t="str">
        <f t="shared" si="14"/>
        <v>Don't</v>
      </c>
      <c r="B72" s="461" t="str">
        <f t="shared" si="14"/>
        <v>AUT</v>
      </c>
      <c r="C72">
        <f t="shared" si="14"/>
        <v>0</v>
      </c>
      <c r="D72" t="str">
        <f t="shared" si="14"/>
        <v>IMP SLS</v>
      </c>
      <c r="E72" s="462" t="str">
        <f t="shared" si="17"/>
        <v>BMP 9</v>
      </c>
      <c r="F72" s="489">
        <f>'Imp-Aus3'!E$209</f>
        <v>0</v>
      </c>
      <c r="G72" s="430">
        <f>'Imp-Aus3'!F$209</f>
        <v>0</v>
      </c>
      <c r="H72" s="430">
        <f>'Imp-Aus3'!G$209</f>
        <v>0</v>
      </c>
      <c r="I72" s="430">
        <f>'Imp-Aus3'!H$209</f>
        <v>0</v>
      </c>
      <c r="J72" s="430">
        <f>'Imp-Aus3'!I$209</f>
        <v>0</v>
      </c>
      <c r="K72" s="430">
        <f>'Imp-Aus3'!J$209</f>
        <v>0</v>
      </c>
      <c r="L72" s="430">
        <f>'Imp-Aus3'!K$209</f>
        <v>0</v>
      </c>
      <c r="M72" s="430">
        <f>'Imp-Aus3'!L$209</f>
        <v>0</v>
      </c>
      <c r="N72" s="489">
        <f>'Imp-Aus3'!E$210/1000</f>
        <v>0</v>
      </c>
      <c r="O72" s="430">
        <f>'Imp-Aus3'!F$210/1000</f>
        <v>0</v>
      </c>
      <c r="P72" s="430">
        <f>'Imp-Aus3'!G$210/1000</f>
        <v>0</v>
      </c>
      <c r="Q72" s="430">
        <f>'Imp-Aus3'!H$210/1000</f>
        <v>0</v>
      </c>
      <c r="R72" s="430">
        <f>'Imp-Aus3'!I$210/1000</f>
        <v>0</v>
      </c>
      <c r="S72" s="430">
        <f>'Imp-Aus3'!J$210/1000</f>
        <v>0</v>
      </c>
      <c r="T72" s="430">
        <f>'Imp-Aus3'!K$210/1000</f>
        <v>0</v>
      </c>
      <c r="U72" s="430">
        <f>'Imp-Aus3'!L$210/1000</f>
        <v>0</v>
      </c>
      <c r="V72" s="490">
        <f t="shared" si="15"/>
        <v>0</v>
      </c>
      <c r="W72" s="491">
        <f t="shared" si="15"/>
        <v>0</v>
      </c>
      <c r="X72" s="491">
        <f t="shared" si="15"/>
        <v>0</v>
      </c>
      <c r="Y72" s="491">
        <f t="shared" si="15"/>
        <v>0</v>
      </c>
      <c r="Z72" s="491">
        <f t="shared" si="15"/>
        <v>0</v>
      </c>
      <c r="AA72" s="491">
        <f t="shared" si="15"/>
        <v>0</v>
      </c>
      <c r="AB72" s="491">
        <f t="shared" si="15"/>
        <v>0</v>
      </c>
      <c r="AC72" s="492">
        <f t="shared" si="15"/>
        <v>0</v>
      </c>
    </row>
    <row r="73" spans="1:29" x14ac:dyDescent="0.25">
      <c r="A73" s="493" t="str">
        <f t="shared" si="14"/>
        <v>Don't</v>
      </c>
      <c r="B73" s="461" t="str">
        <f t="shared" si="14"/>
        <v>AUT</v>
      </c>
      <c r="C73">
        <f t="shared" si="14"/>
        <v>0</v>
      </c>
      <c r="D73" t="str">
        <f t="shared" si="14"/>
        <v>IMP SLS</v>
      </c>
      <c r="E73" s="462" t="str">
        <f t="shared" si="17"/>
        <v>BMP 10</v>
      </c>
      <c r="F73" s="489">
        <f>'Imp-Aus3'!E$214</f>
        <v>0</v>
      </c>
      <c r="G73" s="430">
        <f>'Imp-Aus3'!F$214</f>
        <v>0</v>
      </c>
      <c r="H73" s="430">
        <f>'Imp-Aus3'!G$214</f>
        <v>0</v>
      </c>
      <c r="I73" s="430">
        <f>'Imp-Aus3'!H$214</f>
        <v>0</v>
      </c>
      <c r="J73" s="430">
        <f>'Imp-Aus3'!I$214</f>
        <v>0</v>
      </c>
      <c r="K73" s="430">
        <f>'Imp-Aus3'!J$214</f>
        <v>0</v>
      </c>
      <c r="L73" s="430">
        <f>'Imp-Aus3'!K$214</f>
        <v>0</v>
      </c>
      <c r="M73" s="430">
        <f>'Imp-Aus3'!L$214</f>
        <v>0</v>
      </c>
      <c r="N73" s="489">
        <f>'Imp-Aus3'!E$215/1000</f>
        <v>0</v>
      </c>
      <c r="O73" s="430">
        <f>'Imp-Aus3'!F$215/1000</f>
        <v>0</v>
      </c>
      <c r="P73" s="430">
        <f>'Imp-Aus3'!G$215/1000</f>
        <v>0</v>
      </c>
      <c r="Q73" s="430">
        <f>'Imp-Aus3'!H$215/1000</f>
        <v>0</v>
      </c>
      <c r="R73" s="430">
        <f>'Imp-Aus3'!I$215/1000</f>
        <v>0</v>
      </c>
      <c r="S73" s="430">
        <f>'Imp-Aus3'!J$215/1000</f>
        <v>0</v>
      </c>
      <c r="T73" s="430">
        <f>'Imp-Aus3'!K$215/1000</f>
        <v>0</v>
      </c>
      <c r="U73" s="430">
        <f>'Imp-Aus3'!L$215/1000</f>
        <v>0</v>
      </c>
      <c r="V73" s="490">
        <f t="shared" si="15"/>
        <v>0</v>
      </c>
      <c r="W73" s="491">
        <f t="shared" si="15"/>
        <v>0</v>
      </c>
      <c r="X73" s="491">
        <f t="shared" si="15"/>
        <v>0</v>
      </c>
      <c r="Y73" s="491">
        <f t="shared" si="15"/>
        <v>0</v>
      </c>
      <c r="Z73" s="491">
        <f t="shared" si="15"/>
        <v>0</v>
      </c>
      <c r="AA73" s="491">
        <f t="shared" si="15"/>
        <v>0</v>
      </c>
      <c r="AB73" s="491">
        <f t="shared" si="15"/>
        <v>0</v>
      </c>
      <c r="AC73" s="492">
        <f t="shared" si="15"/>
        <v>0</v>
      </c>
    </row>
    <row r="74" spans="1:29" x14ac:dyDescent="0.25">
      <c r="A74" s="493" t="str">
        <f>IF(SUM(F74:U89)&gt;=0.01,"Copy","Don't")</f>
        <v>Don't</v>
      </c>
      <c r="B74" s="494" t="s">
        <v>555</v>
      </c>
      <c r="C74" s="495"/>
      <c r="D74" s="495" t="s">
        <v>607</v>
      </c>
      <c r="E74" s="496" t="s">
        <v>608</v>
      </c>
      <c r="F74" s="489">
        <f>'Imp-Mex'!E$98</f>
        <v>0</v>
      </c>
      <c r="G74" s="430">
        <f>'Imp-Mex'!F$98</f>
        <v>0</v>
      </c>
      <c r="H74" s="430">
        <f>'Imp-Mex'!G$98</f>
        <v>0</v>
      </c>
      <c r="I74" s="430">
        <f>'Imp-Mex'!H$98</f>
        <v>0</v>
      </c>
      <c r="J74" s="430">
        <f>'Imp-Mex'!I$98</f>
        <v>0</v>
      </c>
      <c r="K74" s="430">
        <f>'Imp-Mex'!J$98</f>
        <v>0</v>
      </c>
      <c r="L74" s="430">
        <f>'Imp-Mex'!K$98</f>
        <v>0</v>
      </c>
      <c r="M74" s="430">
        <f>'Imp-Mex'!L$98</f>
        <v>0</v>
      </c>
      <c r="N74" s="489">
        <f>'Imp-Mex'!E$99/1000</f>
        <v>0</v>
      </c>
      <c r="O74" s="430">
        <f>'Imp-Mex'!F$99/1000</f>
        <v>0</v>
      </c>
      <c r="P74" s="430">
        <f>'Imp-Mex'!G$99/1000</f>
        <v>0</v>
      </c>
      <c r="Q74" s="430">
        <f>'Imp-Mex'!H$99/1000</f>
        <v>0</v>
      </c>
      <c r="R74" s="430">
        <f>'Imp-Mex'!I$99/1000</f>
        <v>0</v>
      </c>
      <c r="S74" s="430">
        <f>'Imp-Mex'!J$99/1000</f>
        <v>0</v>
      </c>
      <c r="T74" s="430">
        <f>'Imp-Mex'!K$99/1000</f>
        <v>0</v>
      </c>
      <c r="U74" s="430">
        <f>'Imp-Mex'!L$99/1000</f>
        <v>0</v>
      </c>
      <c r="V74" s="490">
        <f t="shared" si="15"/>
        <v>0</v>
      </c>
      <c r="W74" s="491">
        <f t="shared" si="15"/>
        <v>0</v>
      </c>
      <c r="X74" s="491">
        <f t="shared" si="15"/>
        <v>0</v>
      </c>
      <c r="Y74" s="491">
        <f t="shared" si="15"/>
        <v>0</v>
      </c>
      <c r="Z74" s="491">
        <f t="shared" si="15"/>
        <v>0</v>
      </c>
      <c r="AA74" s="491">
        <f t="shared" si="15"/>
        <v>0</v>
      </c>
      <c r="AB74" s="491">
        <f t="shared" si="15"/>
        <v>0</v>
      </c>
      <c r="AC74" s="492">
        <f t="shared" si="15"/>
        <v>0</v>
      </c>
    </row>
    <row r="75" spans="1:29" x14ac:dyDescent="0.25">
      <c r="A75" s="493" t="str">
        <f>A74</f>
        <v>Don't</v>
      </c>
      <c r="B75" s="461" t="str">
        <f>B74</f>
        <v>MEX</v>
      </c>
      <c r="D75" t="str">
        <f>D74</f>
        <v>IMP</v>
      </c>
      <c r="E75" s="462" t="s">
        <v>609</v>
      </c>
      <c r="F75" s="489">
        <f>'Imp-Mex'!E$103</f>
        <v>0</v>
      </c>
      <c r="G75" s="430">
        <f>'Imp-Mex'!F$103</f>
        <v>0</v>
      </c>
      <c r="H75" s="430">
        <f>'Imp-Mex'!G$103</f>
        <v>0</v>
      </c>
      <c r="I75" s="430">
        <f>'Imp-Mex'!H$103</f>
        <v>0</v>
      </c>
      <c r="J75" s="430">
        <f>'Imp-Mex'!I$103</f>
        <v>0</v>
      </c>
      <c r="K75" s="430">
        <f>'Imp-Mex'!J$103</f>
        <v>0</v>
      </c>
      <c r="L75" s="430">
        <f>'Imp-Mex'!K$103</f>
        <v>0</v>
      </c>
      <c r="M75" s="430">
        <f>'Imp-Mex'!L$103</f>
        <v>0</v>
      </c>
      <c r="N75" s="489">
        <f>'Imp-Mex'!E$104/1000</f>
        <v>0</v>
      </c>
      <c r="O75" s="430">
        <f>'Imp-Mex'!F$104/1000</f>
        <v>0</v>
      </c>
      <c r="P75" s="430">
        <f>'Imp-Mex'!G$104/1000</f>
        <v>0</v>
      </c>
      <c r="Q75" s="430">
        <f>'Imp-Mex'!H$104/1000</f>
        <v>0</v>
      </c>
      <c r="R75" s="430">
        <f>'Imp-Mex'!I$104/1000</f>
        <v>0</v>
      </c>
      <c r="S75" s="430">
        <f>'Imp-Mex'!J$104/1000</f>
        <v>0</v>
      </c>
      <c r="T75" s="430">
        <f>'Imp-Mex'!K$104/1000</f>
        <v>0</v>
      </c>
      <c r="U75" s="430">
        <f>'Imp-Mex'!L$104/1000</f>
        <v>0</v>
      </c>
      <c r="V75" s="490">
        <f t="shared" si="15"/>
        <v>0</v>
      </c>
      <c r="W75" s="491">
        <f t="shared" si="15"/>
        <v>0</v>
      </c>
      <c r="X75" s="491">
        <f t="shared" si="15"/>
        <v>0</v>
      </c>
      <c r="Y75" s="491">
        <f t="shared" si="15"/>
        <v>0</v>
      </c>
      <c r="Z75" s="491">
        <f t="shared" si="15"/>
        <v>0</v>
      </c>
      <c r="AA75" s="491">
        <f t="shared" si="15"/>
        <v>0</v>
      </c>
      <c r="AB75" s="491">
        <f t="shared" si="15"/>
        <v>0</v>
      </c>
      <c r="AC75" s="492">
        <f t="shared" si="15"/>
        <v>0</v>
      </c>
    </row>
    <row r="76" spans="1:29" x14ac:dyDescent="0.25">
      <c r="A76" s="493" t="str">
        <f t="shared" ref="A76:D93" si="18">A75</f>
        <v>Don't</v>
      </c>
      <c r="B76" s="461" t="str">
        <f t="shared" si="18"/>
        <v>MEX</v>
      </c>
      <c r="D76" t="str">
        <f t="shared" ref="D76:D79" si="19">D75</f>
        <v>IMP</v>
      </c>
      <c r="E76" s="462" t="s">
        <v>610</v>
      </c>
      <c r="F76" s="489">
        <f>'Imp-Mex'!E$108</f>
        <v>0</v>
      </c>
      <c r="G76" s="430">
        <f>'Imp-Mex'!F$108</f>
        <v>0</v>
      </c>
      <c r="H76" s="430">
        <f>'Imp-Mex'!G$108</f>
        <v>0</v>
      </c>
      <c r="I76" s="430">
        <f>'Imp-Mex'!H$108</f>
        <v>0</v>
      </c>
      <c r="J76" s="430">
        <f>'Imp-Mex'!I$108</f>
        <v>0</v>
      </c>
      <c r="K76" s="430">
        <f>'Imp-Mex'!J$108</f>
        <v>0</v>
      </c>
      <c r="L76" s="430">
        <f>'Imp-Mex'!K$108</f>
        <v>0</v>
      </c>
      <c r="M76" s="430">
        <f>'Imp-Mex'!L$108</f>
        <v>0</v>
      </c>
      <c r="N76" s="489">
        <f>'Imp-Mex'!E$109/1000</f>
        <v>0</v>
      </c>
      <c r="O76" s="430">
        <f>'Imp-Mex'!F$109/1000</f>
        <v>0</v>
      </c>
      <c r="P76" s="430">
        <f>'Imp-Mex'!G$109/1000</f>
        <v>0</v>
      </c>
      <c r="Q76" s="430">
        <f>'Imp-Mex'!H$109/1000</f>
        <v>0</v>
      </c>
      <c r="R76" s="430">
        <f>'Imp-Mex'!I$109/1000</f>
        <v>0</v>
      </c>
      <c r="S76" s="430">
        <f>'Imp-Mex'!J$109/1000</f>
        <v>0</v>
      </c>
      <c r="T76" s="430">
        <f>'Imp-Mex'!K$109/1000</f>
        <v>0</v>
      </c>
      <c r="U76" s="430">
        <f>'Imp-Mex'!L$109/1000</f>
        <v>0</v>
      </c>
      <c r="V76" s="490">
        <f t="shared" si="15"/>
        <v>0</v>
      </c>
      <c r="W76" s="491">
        <f t="shared" si="15"/>
        <v>0</v>
      </c>
      <c r="X76" s="491">
        <f t="shared" si="15"/>
        <v>0</v>
      </c>
      <c r="Y76" s="491">
        <f t="shared" si="15"/>
        <v>0</v>
      </c>
      <c r="Z76" s="491">
        <f t="shared" si="15"/>
        <v>0</v>
      </c>
      <c r="AA76" s="491">
        <f t="shared" si="15"/>
        <v>0</v>
      </c>
      <c r="AB76" s="491">
        <f t="shared" si="15"/>
        <v>0</v>
      </c>
      <c r="AC76" s="492">
        <f t="shared" si="15"/>
        <v>0</v>
      </c>
    </row>
    <row r="77" spans="1:29" x14ac:dyDescent="0.25">
      <c r="A77" s="493" t="str">
        <f t="shared" si="18"/>
        <v>Don't</v>
      </c>
      <c r="B77" s="461" t="str">
        <f t="shared" si="18"/>
        <v>MEX</v>
      </c>
      <c r="D77" t="str">
        <f t="shared" si="19"/>
        <v>IMP</v>
      </c>
      <c r="E77" s="462" t="s">
        <v>611</v>
      </c>
      <c r="F77" s="489">
        <f>'Imp-Mex'!E$113</f>
        <v>0</v>
      </c>
      <c r="G77" s="430">
        <f>'Imp-Mex'!F$113</f>
        <v>0</v>
      </c>
      <c r="H77" s="430">
        <f>'Imp-Mex'!G$113</f>
        <v>0</v>
      </c>
      <c r="I77" s="430">
        <f>'Imp-Mex'!H$113</f>
        <v>0</v>
      </c>
      <c r="J77" s="430">
        <f>'Imp-Mex'!I$113</f>
        <v>0</v>
      </c>
      <c r="K77" s="430">
        <f>'Imp-Mex'!J$113</f>
        <v>0</v>
      </c>
      <c r="L77" s="430">
        <f>'Imp-Mex'!K$113</f>
        <v>0</v>
      </c>
      <c r="M77" s="430">
        <f>'Imp-Mex'!L$113</f>
        <v>0</v>
      </c>
      <c r="N77" s="489">
        <f>'Imp-Mex'!E$114/1000</f>
        <v>0</v>
      </c>
      <c r="O77" s="430">
        <f>'Imp-Mex'!F$114/1000</f>
        <v>0</v>
      </c>
      <c r="P77" s="430">
        <f>'Imp-Mex'!G$114/1000</f>
        <v>0</v>
      </c>
      <c r="Q77" s="430">
        <f>'Imp-Mex'!H$114/1000</f>
        <v>0</v>
      </c>
      <c r="R77" s="430">
        <f>'Imp-Mex'!I$114/1000</f>
        <v>0</v>
      </c>
      <c r="S77" s="430">
        <f>'Imp-Mex'!J$114/1000</f>
        <v>0</v>
      </c>
      <c r="T77" s="430">
        <f>'Imp-Mex'!K$114/1000</f>
        <v>0</v>
      </c>
      <c r="U77" s="430">
        <f>'Imp-Mex'!L$114/1000</f>
        <v>0</v>
      </c>
      <c r="V77" s="490">
        <f t="shared" si="15"/>
        <v>0</v>
      </c>
      <c r="W77" s="491">
        <f t="shared" si="15"/>
        <v>0</v>
      </c>
      <c r="X77" s="491">
        <f t="shared" si="15"/>
        <v>0</v>
      </c>
      <c r="Y77" s="491">
        <f t="shared" si="15"/>
        <v>0</v>
      </c>
      <c r="Z77" s="491">
        <f t="shared" si="15"/>
        <v>0</v>
      </c>
      <c r="AA77" s="491">
        <f t="shared" si="15"/>
        <v>0</v>
      </c>
      <c r="AB77" s="491">
        <f t="shared" si="15"/>
        <v>0</v>
      </c>
      <c r="AC77" s="492">
        <f t="shared" si="15"/>
        <v>0</v>
      </c>
    </row>
    <row r="78" spans="1:29" x14ac:dyDescent="0.25">
      <c r="A78" s="493" t="str">
        <f t="shared" si="18"/>
        <v>Don't</v>
      </c>
      <c r="B78" s="461" t="str">
        <f t="shared" si="18"/>
        <v>MEX</v>
      </c>
      <c r="D78" t="str">
        <f t="shared" si="19"/>
        <v>IMP</v>
      </c>
      <c r="E78" s="462" t="s">
        <v>612</v>
      </c>
      <c r="F78" s="489">
        <f>'Imp-Mex'!E$118</f>
        <v>0</v>
      </c>
      <c r="G78" s="430">
        <f>'Imp-Mex'!F$118</f>
        <v>0</v>
      </c>
      <c r="H78" s="430">
        <f>'Imp-Mex'!G$118</f>
        <v>0</v>
      </c>
      <c r="I78" s="430">
        <f>'Imp-Mex'!H$118</f>
        <v>0</v>
      </c>
      <c r="J78" s="430">
        <f>'Imp-Mex'!I$118</f>
        <v>0</v>
      </c>
      <c r="K78" s="430">
        <f>'Imp-Mex'!J$118</f>
        <v>0</v>
      </c>
      <c r="L78" s="430">
        <f>'Imp-Mex'!K$118</f>
        <v>0</v>
      </c>
      <c r="M78" s="430">
        <f>'Imp-Mex'!L$118</f>
        <v>0</v>
      </c>
      <c r="N78" s="489">
        <f>'Imp-Mex'!E$119/1000</f>
        <v>0</v>
      </c>
      <c r="O78" s="430">
        <f>'Imp-Mex'!F$119/1000</f>
        <v>0</v>
      </c>
      <c r="P78" s="430">
        <f>'Imp-Mex'!G$119/1000</f>
        <v>0</v>
      </c>
      <c r="Q78" s="430">
        <f>'Imp-Mex'!H$119/1000</f>
        <v>0</v>
      </c>
      <c r="R78" s="430">
        <f>'Imp-Mex'!I$119/1000</f>
        <v>0</v>
      </c>
      <c r="S78" s="430">
        <f>'Imp-Mex'!J$119/1000</f>
        <v>0</v>
      </c>
      <c r="T78" s="430">
        <f>'Imp-Mex'!K$119/1000</f>
        <v>0</v>
      </c>
      <c r="U78" s="430">
        <f>'Imp-Mex'!L$119/1000</f>
        <v>0</v>
      </c>
      <c r="V78" s="490">
        <f t="shared" si="15"/>
        <v>0</v>
      </c>
      <c r="W78" s="491">
        <f t="shared" si="15"/>
        <v>0</v>
      </c>
      <c r="X78" s="491">
        <f t="shared" si="15"/>
        <v>0</v>
      </c>
      <c r="Y78" s="491">
        <f t="shared" si="15"/>
        <v>0</v>
      </c>
      <c r="Z78" s="491">
        <f t="shared" si="15"/>
        <v>0</v>
      </c>
      <c r="AA78" s="491">
        <f t="shared" si="15"/>
        <v>0</v>
      </c>
      <c r="AB78" s="491">
        <f t="shared" si="15"/>
        <v>0</v>
      </c>
      <c r="AC78" s="492">
        <f t="shared" si="15"/>
        <v>0</v>
      </c>
    </row>
    <row r="79" spans="1:29" x14ac:dyDescent="0.25">
      <c r="A79" s="493" t="str">
        <f t="shared" si="18"/>
        <v>Don't</v>
      </c>
      <c r="B79" s="461" t="str">
        <f t="shared" si="18"/>
        <v>MEX</v>
      </c>
      <c r="D79" t="str">
        <f t="shared" si="19"/>
        <v>IMP</v>
      </c>
      <c r="E79" s="462" t="s">
        <v>613</v>
      </c>
      <c r="F79" s="489">
        <f>'Imp-Mex'!E$123</f>
        <v>0</v>
      </c>
      <c r="G79" s="430">
        <f>'Imp-Mex'!F$123</f>
        <v>0</v>
      </c>
      <c r="H79" s="430">
        <f>'Imp-Mex'!G$123</f>
        <v>0</v>
      </c>
      <c r="I79" s="430">
        <f>'Imp-Mex'!H$123</f>
        <v>0</v>
      </c>
      <c r="J79" s="430">
        <f>'Imp-Mex'!I$123</f>
        <v>0</v>
      </c>
      <c r="K79" s="430">
        <f>'Imp-Mex'!J$123</f>
        <v>0</v>
      </c>
      <c r="L79" s="430">
        <f>'Imp-Mex'!K$123</f>
        <v>0</v>
      </c>
      <c r="M79" s="430">
        <f>'Imp-Mex'!L$123</f>
        <v>0</v>
      </c>
      <c r="N79" s="489">
        <f>'Imp-Mex'!E$124/1000</f>
        <v>0</v>
      </c>
      <c r="O79" s="430">
        <f>'Imp-Mex'!F$124/1000</f>
        <v>0</v>
      </c>
      <c r="P79" s="430">
        <f>'Imp-Mex'!G$124/1000</f>
        <v>0</v>
      </c>
      <c r="Q79" s="430">
        <f>'Imp-Mex'!H$124/1000</f>
        <v>0</v>
      </c>
      <c r="R79" s="430">
        <f>'Imp-Mex'!I$124/1000</f>
        <v>0</v>
      </c>
      <c r="S79" s="430">
        <f>'Imp-Mex'!J$124/1000</f>
        <v>0</v>
      </c>
      <c r="T79" s="430">
        <f>'Imp-Mex'!K$124/1000</f>
        <v>0</v>
      </c>
      <c r="U79" s="430">
        <f>'Imp-Mex'!L$124/1000</f>
        <v>0</v>
      </c>
      <c r="V79" s="490">
        <f t="shared" si="15"/>
        <v>0</v>
      </c>
      <c r="W79" s="491">
        <f t="shared" si="15"/>
        <v>0</v>
      </c>
      <c r="X79" s="491">
        <f t="shared" si="15"/>
        <v>0</v>
      </c>
      <c r="Y79" s="491">
        <f t="shared" si="15"/>
        <v>0</v>
      </c>
      <c r="Z79" s="491">
        <f t="shared" si="15"/>
        <v>0</v>
      </c>
      <c r="AA79" s="491">
        <f t="shared" si="15"/>
        <v>0</v>
      </c>
      <c r="AB79" s="491">
        <f t="shared" si="15"/>
        <v>0</v>
      </c>
      <c r="AC79" s="492">
        <f t="shared" si="15"/>
        <v>0</v>
      </c>
    </row>
    <row r="80" spans="1:29" x14ac:dyDescent="0.25">
      <c r="A80" s="493" t="str">
        <f t="shared" si="18"/>
        <v>Don't</v>
      </c>
      <c r="B80" s="461" t="str">
        <f t="shared" si="18"/>
        <v>MEX</v>
      </c>
      <c r="D80" t="str">
        <f t="shared" si="18"/>
        <v>IMP</v>
      </c>
      <c r="E80" s="462" t="s">
        <v>614</v>
      </c>
      <c r="F80" s="489">
        <f>'Imp-Mex'!E$128</f>
        <v>0</v>
      </c>
      <c r="G80" s="430">
        <f>'Imp-Mex'!F$128</f>
        <v>0</v>
      </c>
      <c r="H80" s="430">
        <f>'Imp-Mex'!G$128</f>
        <v>0</v>
      </c>
      <c r="I80" s="430">
        <f>'Imp-Mex'!H$128</f>
        <v>0</v>
      </c>
      <c r="J80" s="430">
        <f>'Imp-Mex'!I$128</f>
        <v>0</v>
      </c>
      <c r="K80" s="430">
        <f>'Imp-Mex'!J$128</f>
        <v>0</v>
      </c>
      <c r="L80" s="430">
        <f>'Imp-Mex'!K$128</f>
        <v>0</v>
      </c>
      <c r="M80" s="430">
        <f>'Imp-Mex'!L$128</f>
        <v>0</v>
      </c>
      <c r="N80" s="489">
        <f>'Imp-Mex'!E$129/1000</f>
        <v>0</v>
      </c>
      <c r="O80" s="430">
        <f>'Imp-Mex'!F$129/1000</f>
        <v>0</v>
      </c>
      <c r="P80" s="430">
        <f>'Imp-Mex'!G$129/1000</f>
        <v>0</v>
      </c>
      <c r="Q80" s="430">
        <f>'Imp-Mex'!H$129/1000</f>
        <v>0</v>
      </c>
      <c r="R80" s="430">
        <f>'Imp-Mex'!I$129/1000</f>
        <v>0</v>
      </c>
      <c r="S80" s="430">
        <f>'Imp-Mex'!J$129/1000</f>
        <v>0</v>
      </c>
      <c r="T80" s="430">
        <f>'Imp-Mex'!K$129/1000</f>
        <v>0</v>
      </c>
      <c r="U80" s="430">
        <f>'Imp-Mex'!L$129/1000</f>
        <v>0</v>
      </c>
      <c r="V80" s="490">
        <f t="shared" si="15"/>
        <v>0</v>
      </c>
      <c r="W80" s="491">
        <f t="shared" si="15"/>
        <v>0</v>
      </c>
      <c r="X80" s="491">
        <f t="shared" si="15"/>
        <v>0</v>
      </c>
      <c r="Y80" s="491">
        <f t="shared" si="15"/>
        <v>0</v>
      </c>
      <c r="Z80" s="491">
        <f t="shared" si="15"/>
        <v>0</v>
      </c>
      <c r="AA80" s="491">
        <f t="shared" si="15"/>
        <v>0</v>
      </c>
      <c r="AB80" s="491">
        <f t="shared" si="15"/>
        <v>0</v>
      </c>
      <c r="AC80" s="492">
        <f t="shared" si="15"/>
        <v>0</v>
      </c>
    </row>
    <row r="81" spans="1:29" x14ac:dyDescent="0.25">
      <c r="A81" s="493" t="str">
        <f t="shared" si="18"/>
        <v>Don't</v>
      </c>
      <c r="B81" s="461" t="str">
        <f t="shared" si="18"/>
        <v>MEX</v>
      </c>
      <c r="D81" t="str">
        <f t="shared" si="18"/>
        <v>IMP</v>
      </c>
      <c r="E81" s="462" t="s">
        <v>615</v>
      </c>
      <c r="F81" s="489">
        <f>'Imp-Mex'!E$133</f>
        <v>0</v>
      </c>
      <c r="G81" s="430">
        <f>'Imp-Mex'!F$133</f>
        <v>0</v>
      </c>
      <c r="H81" s="430">
        <f>'Imp-Mex'!G$133</f>
        <v>0</v>
      </c>
      <c r="I81" s="430">
        <f>'Imp-Mex'!H$133</f>
        <v>0</v>
      </c>
      <c r="J81" s="430">
        <f>'Imp-Mex'!I$133</f>
        <v>0</v>
      </c>
      <c r="K81" s="430">
        <f>'Imp-Mex'!J$133</f>
        <v>0</v>
      </c>
      <c r="L81" s="430">
        <f>'Imp-Mex'!K$133</f>
        <v>0</v>
      </c>
      <c r="M81" s="430">
        <f>'Imp-Mex'!L$133</f>
        <v>0</v>
      </c>
      <c r="N81" s="489">
        <f>'Imp-Mex'!E$134/1000</f>
        <v>0</v>
      </c>
      <c r="O81" s="430">
        <f>'Imp-Mex'!F$134/1000</f>
        <v>0</v>
      </c>
      <c r="P81" s="430">
        <f>'Imp-Mex'!G$134/1000</f>
        <v>0</v>
      </c>
      <c r="Q81" s="430">
        <f>'Imp-Mex'!H$134/1000</f>
        <v>0</v>
      </c>
      <c r="R81" s="430">
        <f>'Imp-Mex'!I$134/1000</f>
        <v>0</v>
      </c>
      <c r="S81" s="430">
        <f>'Imp-Mex'!J$134/1000</f>
        <v>0</v>
      </c>
      <c r="T81" s="430">
        <f>'Imp-Mex'!K$134/1000</f>
        <v>0</v>
      </c>
      <c r="U81" s="430">
        <f>'Imp-Mex'!L$134/1000</f>
        <v>0</v>
      </c>
      <c r="V81" s="490">
        <f t="shared" si="15"/>
        <v>0</v>
      </c>
      <c r="W81" s="491">
        <f t="shared" si="15"/>
        <v>0</v>
      </c>
      <c r="X81" s="491">
        <f t="shared" si="15"/>
        <v>0</v>
      </c>
      <c r="Y81" s="491">
        <f t="shared" si="15"/>
        <v>0</v>
      </c>
      <c r="Z81" s="491">
        <f t="shared" si="15"/>
        <v>0</v>
      </c>
      <c r="AA81" s="491">
        <f t="shared" si="15"/>
        <v>0</v>
      </c>
      <c r="AB81" s="491">
        <f t="shared" si="15"/>
        <v>0</v>
      </c>
      <c r="AC81" s="492">
        <f t="shared" si="15"/>
        <v>0</v>
      </c>
    </row>
    <row r="82" spans="1:29" x14ac:dyDescent="0.25">
      <c r="A82" s="493" t="str">
        <f t="shared" si="18"/>
        <v>Don't</v>
      </c>
      <c r="B82" s="461" t="str">
        <f t="shared" si="18"/>
        <v>MEX</v>
      </c>
      <c r="D82" t="str">
        <f t="shared" si="18"/>
        <v>IMP</v>
      </c>
      <c r="E82" s="462" t="s">
        <v>616</v>
      </c>
      <c r="F82" s="489">
        <f>'Imp-Mex'!E$138</f>
        <v>0</v>
      </c>
      <c r="G82" s="430">
        <f>'Imp-Mex'!F$138</f>
        <v>0</v>
      </c>
      <c r="H82" s="430">
        <f>'Imp-Mex'!G$138</f>
        <v>0</v>
      </c>
      <c r="I82" s="430">
        <f>'Imp-Mex'!H$138</f>
        <v>0</v>
      </c>
      <c r="J82" s="430">
        <f>'Imp-Mex'!I$138</f>
        <v>0</v>
      </c>
      <c r="K82" s="430">
        <f>'Imp-Mex'!J$138</f>
        <v>0</v>
      </c>
      <c r="L82" s="430">
        <f>'Imp-Mex'!K$138</f>
        <v>0</v>
      </c>
      <c r="M82" s="430">
        <f>'Imp-Mex'!L$138</f>
        <v>0</v>
      </c>
      <c r="N82" s="489">
        <f>'Imp-Mex'!E$139/1000</f>
        <v>0</v>
      </c>
      <c r="O82" s="430">
        <f>'Imp-Mex'!F$139/1000</f>
        <v>0</v>
      </c>
      <c r="P82" s="430">
        <f>'Imp-Mex'!G$139/1000</f>
        <v>0</v>
      </c>
      <c r="Q82" s="430">
        <f>'Imp-Mex'!H$139/1000</f>
        <v>0</v>
      </c>
      <c r="R82" s="430">
        <f>'Imp-Mex'!I$139/1000</f>
        <v>0</v>
      </c>
      <c r="S82" s="430">
        <f>'Imp-Mex'!J$139/1000</f>
        <v>0</v>
      </c>
      <c r="T82" s="430">
        <f>'Imp-Mex'!K$139/1000</f>
        <v>0</v>
      </c>
      <c r="U82" s="430">
        <f>'Imp-Mex'!L$139/1000</f>
        <v>0</v>
      </c>
      <c r="V82" s="490">
        <f t="shared" si="15"/>
        <v>0</v>
      </c>
      <c r="W82" s="491">
        <f t="shared" si="15"/>
        <v>0</v>
      </c>
      <c r="X82" s="491">
        <f t="shared" si="15"/>
        <v>0</v>
      </c>
      <c r="Y82" s="491">
        <f t="shared" si="15"/>
        <v>0</v>
      </c>
      <c r="Z82" s="491">
        <f t="shared" si="15"/>
        <v>0</v>
      </c>
      <c r="AA82" s="491">
        <f t="shared" si="15"/>
        <v>0</v>
      </c>
      <c r="AB82" s="491">
        <f t="shared" si="15"/>
        <v>0</v>
      </c>
      <c r="AC82" s="492">
        <f t="shared" si="15"/>
        <v>0</v>
      </c>
    </row>
    <row r="83" spans="1:29" x14ac:dyDescent="0.25">
      <c r="A83" s="493" t="str">
        <f t="shared" si="18"/>
        <v>Don't</v>
      </c>
      <c r="B83" s="461" t="str">
        <f t="shared" si="18"/>
        <v>MEX</v>
      </c>
      <c r="D83" t="str">
        <f t="shared" si="18"/>
        <v>IMP</v>
      </c>
      <c r="E83" s="462" t="s">
        <v>617</v>
      </c>
      <c r="F83" s="489">
        <f>'Imp-Mex'!E$143</f>
        <v>0</v>
      </c>
      <c r="G83" s="430">
        <f>'Imp-Mex'!F$143</f>
        <v>0</v>
      </c>
      <c r="H83" s="430">
        <f>'Imp-Mex'!G$143</f>
        <v>0</v>
      </c>
      <c r="I83" s="430">
        <f>'Imp-Mex'!H$143</f>
        <v>0</v>
      </c>
      <c r="J83" s="430">
        <f>'Imp-Mex'!I$143</f>
        <v>0</v>
      </c>
      <c r="K83" s="430">
        <f>'Imp-Mex'!J$143</f>
        <v>0</v>
      </c>
      <c r="L83" s="430">
        <f>'Imp-Mex'!K$143</f>
        <v>0</v>
      </c>
      <c r="M83" s="430">
        <f>'Imp-Mex'!L$143</f>
        <v>0</v>
      </c>
      <c r="N83" s="489">
        <f>'Imp-Mex'!E$144/1000</f>
        <v>0</v>
      </c>
      <c r="O83" s="430">
        <f>'Imp-Mex'!F$144/1000</f>
        <v>0</v>
      </c>
      <c r="P83" s="430">
        <f>'Imp-Mex'!G$144/1000</f>
        <v>0</v>
      </c>
      <c r="Q83" s="430">
        <f>'Imp-Mex'!H$144/1000</f>
        <v>0</v>
      </c>
      <c r="R83" s="430">
        <f>'Imp-Mex'!I$144/1000</f>
        <v>0</v>
      </c>
      <c r="S83" s="430">
        <f>'Imp-Mex'!J$144/1000</f>
        <v>0</v>
      </c>
      <c r="T83" s="430">
        <f>'Imp-Mex'!K$144/1000</f>
        <v>0</v>
      </c>
      <c r="U83" s="430">
        <f>'Imp-Mex'!L$144/1000</f>
        <v>0</v>
      </c>
      <c r="V83" s="490">
        <f t="shared" si="15"/>
        <v>0</v>
      </c>
      <c r="W83" s="491">
        <f t="shared" si="15"/>
        <v>0</v>
      </c>
      <c r="X83" s="491">
        <f t="shared" si="15"/>
        <v>0</v>
      </c>
      <c r="Y83" s="491">
        <f t="shared" si="15"/>
        <v>0</v>
      </c>
      <c r="Z83" s="491">
        <f t="shared" si="15"/>
        <v>0</v>
      </c>
      <c r="AA83" s="491">
        <f t="shared" si="15"/>
        <v>0</v>
      </c>
      <c r="AB83" s="491">
        <f t="shared" si="15"/>
        <v>0</v>
      </c>
      <c r="AC83" s="492">
        <f t="shared" si="15"/>
        <v>0</v>
      </c>
    </row>
    <row r="84" spans="1:29" x14ac:dyDescent="0.25">
      <c r="A84" s="493" t="str">
        <f t="shared" si="18"/>
        <v>Don't</v>
      </c>
      <c r="B84" s="461" t="str">
        <f t="shared" si="18"/>
        <v>MEX</v>
      </c>
      <c r="D84" t="s">
        <v>618</v>
      </c>
      <c r="E84" s="462" t="str">
        <f t="shared" ref="E84:E89" si="20">E74</f>
        <v>BMP 1</v>
      </c>
      <c r="F84" s="489">
        <f>'Imp-Mex'!E$169</f>
        <v>0</v>
      </c>
      <c r="G84" s="430">
        <f>'Imp-Mex'!F$169</f>
        <v>0</v>
      </c>
      <c r="H84" s="430">
        <f>'Imp-Mex'!G$169</f>
        <v>0</v>
      </c>
      <c r="I84" s="430">
        <f>'Imp-Mex'!H$169</f>
        <v>0</v>
      </c>
      <c r="J84" s="430">
        <f>'Imp-Mex'!I$169</f>
        <v>0</v>
      </c>
      <c r="K84" s="430">
        <f>'Imp-Mex'!J$169</f>
        <v>0</v>
      </c>
      <c r="L84" s="430">
        <f>'Imp-Mex'!K$169</f>
        <v>0</v>
      </c>
      <c r="M84" s="430">
        <f>'Imp-Mex'!L$169</f>
        <v>0</v>
      </c>
      <c r="N84" s="489">
        <f>'Imp-Mex'!E$170/1000</f>
        <v>0</v>
      </c>
      <c r="O84" s="430">
        <f>'Imp-Mex'!F$170/1000</f>
        <v>0</v>
      </c>
      <c r="P84" s="430">
        <f>'Imp-Mex'!G$170/1000</f>
        <v>0</v>
      </c>
      <c r="Q84" s="430">
        <f>'Imp-Mex'!H$170/1000</f>
        <v>0</v>
      </c>
      <c r="R84" s="430">
        <f>'Imp-Mex'!I$170/1000</f>
        <v>0</v>
      </c>
      <c r="S84" s="430">
        <f>'Imp-Mex'!J$170/1000</f>
        <v>0</v>
      </c>
      <c r="T84" s="430">
        <f>'Imp-Mex'!K$170/1000</f>
        <v>0</v>
      </c>
      <c r="U84" s="430">
        <f>'Imp-Mex'!L$170/1000</f>
        <v>0</v>
      </c>
      <c r="V84" s="490">
        <f t="shared" si="15"/>
        <v>0</v>
      </c>
      <c r="W84" s="491">
        <f t="shared" si="15"/>
        <v>0</v>
      </c>
      <c r="X84" s="491">
        <f t="shared" si="15"/>
        <v>0</v>
      </c>
      <c r="Y84" s="491">
        <f t="shared" si="15"/>
        <v>0</v>
      </c>
      <c r="Z84" s="491">
        <f t="shared" si="15"/>
        <v>0</v>
      </c>
      <c r="AA84" s="491">
        <f t="shared" si="15"/>
        <v>0</v>
      </c>
      <c r="AB84" s="491">
        <f t="shared" si="15"/>
        <v>0</v>
      </c>
      <c r="AC84" s="492">
        <f t="shared" si="15"/>
        <v>0</v>
      </c>
    </row>
    <row r="85" spans="1:29" x14ac:dyDescent="0.25">
      <c r="A85" s="493" t="str">
        <f t="shared" si="18"/>
        <v>Don't</v>
      </c>
      <c r="B85" s="461" t="str">
        <f t="shared" si="18"/>
        <v>MEX</v>
      </c>
      <c r="D85" t="str">
        <f>D84</f>
        <v>IMP SLS</v>
      </c>
      <c r="E85" s="462" t="str">
        <f t="shared" si="20"/>
        <v>BMP 2</v>
      </c>
      <c r="F85" s="489">
        <f>'Imp-Mex'!E$174</f>
        <v>0</v>
      </c>
      <c r="G85" s="430">
        <f>'Imp-Mex'!F$174</f>
        <v>0</v>
      </c>
      <c r="H85" s="430">
        <f>'Imp-Mex'!G$174</f>
        <v>0</v>
      </c>
      <c r="I85" s="430">
        <f>'Imp-Mex'!H$174</f>
        <v>0</v>
      </c>
      <c r="J85" s="430">
        <f>'Imp-Mex'!I$174</f>
        <v>0</v>
      </c>
      <c r="K85" s="430">
        <f>'Imp-Mex'!J$174</f>
        <v>0</v>
      </c>
      <c r="L85" s="430">
        <f>'Imp-Mex'!K$174</f>
        <v>0</v>
      </c>
      <c r="M85" s="430">
        <f>'Imp-Mex'!L$174</f>
        <v>0</v>
      </c>
      <c r="N85" s="489">
        <f>'Imp-Mex'!E$175/1000</f>
        <v>0</v>
      </c>
      <c r="O85" s="430">
        <f>'Imp-Mex'!F$175/1000</f>
        <v>0</v>
      </c>
      <c r="P85" s="430">
        <f>'Imp-Mex'!G$175/1000</f>
        <v>0</v>
      </c>
      <c r="Q85" s="430">
        <f>'Imp-Mex'!H$175/1000</f>
        <v>0</v>
      </c>
      <c r="R85" s="430">
        <f>'Imp-Mex'!I$175/1000</f>
        <v>0</v>
      </c>
      <c r="S85" s="430">
        <f>'Imp-Mex'!J$175/1000</f>
        <v>0</v>
      </c>
      <c r="T85" s="430">
        <f>'Imp-Mex'!K$175/1000</f>
        <v>0</v>
      </c>
      <c r="U85" s="430">
        <f>'Imp-Mex'!L$175/1000</f>
        <v>0</v>
      </c>
      <c r="V85" s="490">
        <f t="shared" si="15"/>
        <v>0</v>
      </c>
      <c r="W85" s="491">
        <f t="shared" si="15"/>
        <v>0</v>
      </c>
      <c r="X85" s="491">
        <f t="shared" si="15"/>
        <v>0</v>
      </c>
      <c r="Y85" s="491">
        <f t="shared" si="15"/>
        <v>0</v>
      </c>
      <c r="Z85" s="491">
        <f t="shared" si="15"/>
        <v>0</v>
      </c>
      <c r="AA85" s="491">
        <f t="shared" si="15"/>
        <v>0</v>
      </c>
      <c r="AB85" s="491">
        <f t="shared" si="15"/>
        <v>0</v>
      </c>
      <c r="AC85" s="492">
        <f t="shared" si="15"/>
        <v>0</v>
      </c>
    </row>
    <row r="86" spans="1:29" x14ac:dyDescent="0.25">
      <c r="A86" s="493" t="str">
        <f t="shared" si="18"/>
        <v>Don't</v>
      </c>
      <c r="B86" s="461" t="str">
        <f t="shared" si="18"/>
        <v>MEX</v>
      </c>
      <c r="D86" t="str">
        <f t="shared" ref="D86:D89" si="21">D85</f>
        <v>IMP SLS</v>
      </c>
      <c r="E86" s="462" t="str">
        <f t="shared" si="20"/>
        <v>BMP 3</v>
      </c>
      <c r="F86" s="489">
        <f>'Imp-Mex'!E$179</f>
        <v>0</v>
      </c>
      <c r="G86" s="430">
        <f>'Imp-Mex'!F$179</f>
        <v>0</v>
      </c>
      <c r="H86" s="430">
        <f>'Imp-Mex'!G$179</f>
        <v>0</v>
      </c>
      <c r="I86" s="430">
        <f>'Imp-Mex'!H$179</f>
        <v>0</v>
      </c>
      <c r="J86" s="430">
        <f>'Imp-Mex'!I$179</f>
        <v>0</v>
      </c>
      <c r="K86" s="430">
        <f>'Imp-Mex'!J$179</f>
        <v>0</v>
      </c>
      <c r="L86" s="430">
        <f>'Imp-Mex'!K$179</f>
        <v>0</v>
      </c>
      <c r="M86" s="430">
        <f>'Imp-Mex'!L$179</f>
        <v>0</v>
      </c>
      <c r="N86" s="489">
        <f>'Imp-Mex'!E$180/1000</f>
        <v>0</v>
      </c>
      <c r="O86" s="430">
        <f>'Imp-Mex'!F$180/1000</f>
        <v>0</v>
      </c>
      <c r="P86" s="430">
        <f>'Imp-Mex'!G$180/1000</f>
        <v>0</v>
      </c>
      <c r="Q86" s="430">
        <f>'Imp-Mex'!H$180/1000</f>
        <v>0</v>
      </c>
      <c r="R86" s="430">
        <f>'Imp-Mex'!I$180/1000</f>
        <v>0</v>
      </c>
      <c r="S86" s="430">
        <f>'Imp-Mex'!J$180/1000</f>
        <v>0</v>
      </c>
      <c r="T86" s="430">
        <f>'Imp-Mex'!K$180/1000</f>
        <v>0</v>
      </c>
      <c r="U86" s="430">
        <f>'Imp-Mex'!L$180/1000</f>
        <v>0</v>
      </c>
      <c r="V86" s="490">
        <f t="shared" si="15"/>
        <v>0</v>
      </c>
      <c r="W86" s="491">
        <f t="shared" si="15"/>
        <v>0</v>
      </c>
      <c r="X86" s="491">
        <f t="shared" si="15"/>
        <v>0</v>
      </c>
      <c r="Y86" s="491">
        <f t="shared" si="15"/>
        <v>0</v>
      </c>
      <c r="Z86" s="491">
        <f t="shared" si="15"/>
        <v>0</v>
      </c>
      <c r="AA86" s="491">
        <f t="shared" si="15"/>
        <v>0</v>
      </c>
      <c r="AB86" s="491">
        <f t="shared" si="15"/>
        <v>0</v>
      </c>
      <c r="AC86" s="492">
        <f t="shared" si="15"/>
        <v>0</v>
      </c>
    </row>
    <row r="87" spans="1:29" x14ac:dyDescent="0.25">
      <c r="A87" s="493" t="str">
        <f t="shared" si="18"/>
        <v>Don't</v>
      </c>
      <c r="B87" s="461" t="str">
        <f>B86</f>
        <v>MEX</v>
      </c>
      <c r="D87" t="str">
        <f t="shared" si="21"/>
        <v>IMP SLS</v>
      </c>
      <c r="E87" s="462" t="str">
        <f t="shared" si="20"/>
        <v>BMP 4</v>
      </c>
      <c r="F87" s="489">
        <f>'Imp-Mex'!E$184</f>
        <v>0</v>
      </c>
      <c r="G87" s="430">
        <f>'Imp-Mex'!F$184</f>
        <v>0</v>
      </c>
      <c r="H87" s="430">
        <f>'Imp-Mex'!G$184</f>
        <v>0</v>
      </c>
      <c r="I87" s="430">
        <f>'Imp-Mex'!H$184</f>
        <v>0</v>
      </c>
      <c r="J87" s="430">
        <f>'Imp-Mex'!I$184</f>
        <v>0</v>
      </c>
      <c r="K87" s="430">
        <f>'Imp-Mex'!J$184</f>
        <v>0</v>
      </c>
      <c r="L87" s="430">
        <f>'Imp-Mex'!K$184</f>
        <v>0</v>
      </c>
      <c r="M87" s="430">
        <f>'Imp-Mex'!L$184</f>
        <v>0</v>
      </c>
      <c r="N87" s="489">
        <f>'Imp-Mex'!E$185/1000</f>
        <v>0</v>
      </c>
      <c r="O87" s="430">
        <f>'Imp-Mex'!F$185/1000</f>
        <v>0</v>
      </c>
      <c r="P87" s="430">
        <f>'Imp-Mex'!G$185/1000</f>
        <v>0</v>
      </c>
      <c r="Q87" s="430">
        <f>'Imp-Mex'!H$185/1000</f>
        <v>0</v>
      </c>
      <c r="R87" s="430">
        <f>'Imp-Mex'!I$185/1000</f>
        <v>0</v>
      </c>
      <c r="S87" s="430">
        <f>'Imp-Mex'!J$185/1000</f>
        <v>0</v>
      </c>
      <c r="T87" s="430">
        <f>'Imp-Mex'!K$185/1000</f>
        <v>0</v>
      </c>
      <c r="U87" s="430">
        <f>'Imp-Mex'!L$185/1000</f>
        <v>0</v>
      </c>
      <c r="V87" s="490">
        <f t="shared" si="15"/>
        <v>0</v>
      </c>
      <c r="W87" s="491">
        <f t="shared" si="15"/>
        <v>0</v>
      </c>
      <c r="X87" s="491">
        <f t="shared" si="15"/>
        <v>0</v>
      </c>
      <c r="Y87" s="491">
        <f t="shared" si="15"/>
        <v>0</v>
      </c>
      <c r="Z87" s="491">
        <f t="shared" si="15"/>
        <v>0</v>
      </c>
      <c r="AA87" s="491">
        <f t="shared" si="15"/>
        <v>0</v>
      </c>
      <c r="AB87" s="491">
        <f t="shared" si="15"/>
        <v>0</v>
      </c>
      <c r="AC87" s="492">
        <f t="shared" si="15"/>
        <v>0</v>
      </c>
    </row>
    <row r="88" spans="1:29" x14ac:dyDescent="0.25">
      <c r="A88" s="493" t="str">
        <f t="shared" si="18"/>
        <v>Don't</v>
      </c>
      <c r="B88" s="461" t="str">
        <f>B87</f>
        <v>MEX</v>
      </c>
      <c r="D88" t="str">
        <f t="shared" si="21"/>
        <v>IMP SLS</v>
      </c>
      <c r="E88" s="462" t="str">
        <f t="shared" si="20"/>
        <v>BMP 5</v>
      </c>
      <c r="F88" s="489">
        <f>'Imp-Mex'!E$189</f>
        <v>0</v>
      </c>
      <c r="G88" s="430">
        <f>'Imp-Mex'!F$189</f>
        <v>0</v>
      </c>
      <c r="H88" s="430">
        <f>'Imp-Mex'!G$189</f>
        <v>0</v>
      </c>
      <c r="I88" s="430">
        <f>'Imp-Mex'!H$189</f>
        <v>0</v>
      </c>
      <c r="J88" s="430">
        <f>'Imp-Mex'!I$189</f>
        <v>0</v>
      </c>
      <c r="K88" s="430">
        <f>'Imp-Mex'!J$189</f>
        <v>0</v>
      </c>
      <c r="L88" s="430">
        <f>'Imp-Mex'!K$189</f>
        <v>0</v>
      </c>
      <c r="M88" s="430">
        <f>'Imp-Mex'!L$189</f>
        <v>0</v>
      </c>
      <c r="N88" s="489">
        <f>'Imp-Mex'!E$190/1000</f>
        <v>0</v>
      </c>
      <c r="O88" s="430">
        <f>'Imp-Mex'!F$190/1000</f>
        <v>0</v>
      </c>
      <c r="P88" s="430">
        <f>'Imp-Mex'!G$190/1000</f>
        <v>0</v>
      </c>
      <c r="Q88" s="430">
        <f>'Imp-Mex'!H$190/1000</f>
        <v>0</v>
      </c>
      <c r="R88" s="430">
        <f>'Imp-Mex'!I$190/1000</f>
        <v>0</v>
      </c>
      <c r="S88" s="430">
        <f>'Imp-Mex'!J$190/1000</f>
        <v>0</v>
      </c>
      <c r="T88" s="430">
        <f>'Imp-Mex'!K$190/1000</f>
        <v>0</v>
      </c>
      <c r="U88" s="430">
        <f>'Imp-Mex'!L$190/1000</f>
        <v>0</v>
      </c>
      <c r="V88" s="490">
        <f t="shared" si="15"/>
        <v>0</v>
      </c>
      <c r="W88" s="491">
        <f t="shared" si="15"/>
        <v>0</v>
      </c>
      <c r="X88" s="491">
        <f t="shared" si="15"/>
        <v>0</v>
      </c>
      <c r="Y88" s="491">
        <f t="shared" si="15"/>
        <v>0</v>
      </c>
      <c r="Z88" s="491">
        <f t="shared" si="15"/>
        <v>0</v>
      </c>
      <c r="AA88" s="491">
        <f t="shared" si="15"/>
        <v>0</v>
      </c>
      <c r="AB88" s="491">
        <f t="shared" si="15"/>
        <v>0</v>
      </c>
      <c r="AC88" s="492">
        <f t="shared" si="15"/>
        <v>0</v>
      </c>
    </row>
    <row r="89" spans="1:29" x14ac:dyDescent="0.25">
      <c r="A89" s="493" t="str">
        <f t="shared" si="18"/>
        <v>Don't</v>
      </c>
      <c r="B89" s="461" t="str">
        <f>B88</f>
        <v>MEX</v>
      </c>
      <c r="D89" t="str">
        <f t="shared" si="21"/>
        <v>IMP SLS</v>
      </c>
      <c r="E89" s="462" t="str">
        <f t="shared" si="20"/>
        <v>BMP 6</v>
      </c>
      <c r="F89" s="489">
        <f>'Imp-Mex'!E$194</f>
        <v>0</v>
      </c>
      <c r="G89" s="430">
        <f>'Imp-Mex'!F$194</f>
        <v>0</v>
      </c>
      <c r="H89" s="430">
        <f>'Imp-Mex'!G$194</f>
        <v>0</v>
      </c>
      <c r="I89" s="430">
        <f>'Imp-Mex'!H$194</f>
        <v>0</v>
      </c>
      <c r="J89" s="430">
        <f>'Imp-Mex'!I$194</f>
        <v>0</v>
      </c>
      <c r="K89" s="430">
        <f>'Imp-Mex'!J$194</f>
        <v>0</v>
      </c>
      <c r="L89" s="430">
        <f>'Imp-Mex'!K$194</f>
        <v>0</v>
      </c>
      <c r="M89" s="430">
        <f>'Imp-Mex'!L$194</f>
        <v>0</v>
      </c>
      <c r="N89" s="489">
        <f>'Imp-Mex'!E$195/1000</f>
        <v>0</v>
      </c>
      <c r="O89" s="430">
        <f>'Imp-Mex'!F$195/1000</f>
        <v>0</v>
      </c>
      <c r="P89" s="430">
        <f>'Imp-Mex'!G$195/1000</f>
        <v>0</v>
      </c>
      <c r="Q89" s="430">
        <f>'Imp-Mex'!H$195/1000</f>
        <v>0</v>
      </c>
      <c r="R89" s="430">
        <f>'Imp-Mex'!I$195/1000</f>
        <v>0</v>
      </c>
      <c r="S89" s="430">
        <f>'Imp-Mex'!J$195/1000</f>
        <v>0</v>
      </c>
      <c r="T89" s="430">
        <f>'Imp-Mex'!K$195/1000</f>
        <v>0</v>
      </c>
      <c r="U89" s="430">
        <f>'Imp-Mex'!L$195/1000</f>
        <v>0</v>
      </c>
      <c r="V89" s="490">
        <f t="shared" si="15"/>
        <v>0</v>
      </c>
      <c r="W89" s="491">
        <f t="shared" si="15"/>
        <v>0</v>
      </c>
      <c r="X89" s="491">
        <f t="shared" si="15"/>
        <v>0</v>
      </c>
      <c r="Y89" s="491">
        <f t="shared" si="15"/>
        <v>0</v>
      </c>
      <c r="Z89" s="491">
        <f t="shared" si="15"/>
        <v>0</v>
      </c>
      <c r="AA89" s="491">
        <f t="shared" si="15"/>
        <v>0</v>
      </c>
      <c r="AB89" s="491">
        <f t="shared" si="15"/>
        <v>0</v>
      </c>
      <c r="AC89" s="492">
        <f t="shared" si="15"/>
        <v>0</v>
      </c>
    </row>
    <row r="90" spans="1:29" x14ac:dyDescent="0.25">
      <c r="A90" s="493" t="str">
        <f t="shared" si="18"/>
        <v>Don't</v>
      </c>
      <c r="B90" s="461" t="str">
        <f t="shared" si="18"/>
        <v>MEX</v>
      </c>
      <c r="D90" t="str">
        <f t="shared" si="18"/>
        <v>IMP SLS</v>
      </c>
      <c r="E90" s="462" t="str">
        <f t="shared" ref="E90:E93" si="22">E80</f>
        <v>BMP 7</v>
      </c>
      <c r="F90" s="489">
        <f>'Imp-Mex'!E$199</f>
        <v>0</v>
      </c>
      <c r="G90" s="430">
        <f>'Imp-Mex'!F$199</f>
        <v>0</v>
      </c>
      <c r="H90" s="430">
        <f>'Imp-Mex'!G$199</f>
        <v>0</v>
      </c>
      <c r="I90" s="430">
        <f>'Imp-Mex'!H$199</f>
        <v>0</v>
      </c>
      <c r="J90" s="430">
        <f>'Imp-Mex'!I$199</f>
        <v>0</v>
      </c>
      <c r="K90" s="430">
        <f>'Imp-Mex'!J$199</f>
        <v>0</v>
      </c>
      <c r="L90" s="430">
        <f>'Imp-Mex'!K$199</f>
        <v>0</v>
      </c>
      <c r="M90" s="430">
        <f>'Imp-Mex'!L$199</f>
        <v>0</v>
      </c>
      <c r="N90" s="489">
        <f>'Imp-Mex'!E$200/1000</f>
        <v>0</v>
      </c>
      <c r="O90" s="430">
        <f>'Imp-Mex'!F$200/1000</f>
        <v>0</v>
      </c>
      <c r="P90" s="430">
        <f>'Imp-Mex'!G$200/1000</f>
        <v>0</v>
      </c>
      <c r="Q90" s="430">
        <f>'Imp-Mex'!H$200/1000</f>
        <v>0</v>
      </c>
      <c r="R90" s="430">
        <f>'Imp-Mex'!I$200/1000</f>
        <v>0</v>
      </c>
      <c r="S90" s="430">
        <f>'Imp-Mex'!J$200/1000</f>
        <v>0</v>
      </c>
      <c r="T90" s="430">
        <f>'Imp-Mex'!K$200/1000</f>
        <v>0</v>
      </c>
      <c r="U90" s="430">
        <f>'Imp-Mex'!L$200/1000</f>
        <v>0</v>
      </c>
      <c r="V90" s="490">
        <f t="shared" si="15"/>
        <v>0</v>
      </c>
      <c r="W90" s="491">
        <f t="shared" si="15"/>
        <v>0</v>
      </c>
      <c r="X90" s="491">
        <f t="shared" si="15"/>
        <v>0</v>
      </c>
      <c r="Y90" s="491">
        <f t="shared" si="15"/>
        <v>0</v>
      </c>
      <c r="Z90" s="491">
        <f t="shared" si="15"/>
        <v>0</v>
      </c>
      <c r="AA90" s="491">
        <f t="shared" si="15"/>
        <v>0</v>
      </c>
      <c r="AB90" s="491">
        <f t="shared" si="15"/>
        <v>0</v>
      </c>
      <c r="AC90" s="492">
        <f t="shared" si="15"/>
        <v>0</v>
      </c>
    </row>
    <row r="91" spans="1:29" x14ac:dyDescent="0.25">
      <c r="A91" s="493" t="str">
        <f t="shared" si="18"/>
        <v>Don't</v>
      </c>
      <c r="B91" s="461" t="str">
        <f t="shared" si="18"/>
        <v>MEX</v>
      </c>
      <c r="D91" t="str">
        <f t="shared" si="18"/>
        <v>IMP SLS</v>
      </c>
      <c r="E91" s="462" t="str">
        <f t="shared" si="22"/>
        <v>BMP 8</v>
      </c>
      <c r="F91" s="489">
        <f>'Imp-Mex'!E$204</f>
        <v>0</v>
      </c>
      <c r="G91" s="430">
        <f>'Imp-Mex'!F$204</f>
        <v>0</v>
      </c>
      <c r="H91" s="430">
        <f>'Imp-Mex'!G$204</f>
        <v>0</v>
      </c>
      <c r="I91" s="430">
        <f>'Imp-Mex'!H$204</f>
        <v>0</v>
      </c>
      <c r="J91" s="430">
        <f>'Imp-Mex'!I$204</f>
        <v>0</v>
      </c>
      <c r="K91" s="430">
        <f>'Imp-Mex'!J$204</f>
        <v>0</v>
      </c>
      <c r="L91" s="430">
        <f>'Imp-Mex'!K$204</f>
        <v>0</v>
      </c>
      <c r="M91" s="430">
        <f>'Imp-Mex'!L$204</f>
        <v>0</v>
      </c>
      <c r="N91" s="489">
        <f>'Imp-Mex'!E$205/1000</f>
        <v>0</v>
      </c>
      <c r="O91" s="430">
        <f>'Imp-Mex'!F$205/1000</f>
        <v>0</v>
      </c>
      <c r="P91" s="430">
        <f>'Imp-Mex'!G$205/1000</f>
        <v>0</v>
      </c>
      <c r="Q91" s="430">
        <f>'Imp-Mex'!H$205/1000</f>
        <v>0</v>
      </c>
      <c r="R91" s="430">
        <f>'Imp-Mex'!I$205/1000</f>
        <v>0</v>
      </c>
      <c r="S91" s="430">
        <f>'Imp-Mex'!J$205/1000</f>
        <v>0</v>
      </c>
      <c r="T91" s="430">
        <f>'Imp-Mex'!K$205/1000</f>
        <v>0</v>
      </c>
      <c r="U91" s="430">
        <f>'Imp-Mex'!L$205/1000</f>
        <v>0</v>
      </c>
      <c r="V91" s="490">
        <f t="shared" si="15"/>
        <v>0</v>
      </c>
      <c r="W91" s="491">
        <f t="shared" si="15"/>
        <v>0</v>
      </c>
      <c r="X91" s="491">
        <f t="shared" si="15"/>
        <v>0</v>
      </c>
      <c r="Y91" s="491">
        <f t="shared" si="15"/>
        <v>0</v>
      </c>
      <c r="Z91" s="491">
        <f t="shared" si="15"/>
        <v>0</v>
      </c>
      <c r="AA91" s="491">
        <f t="shared" si="15"/>
        <v>0</v>
      </c>
      <c r="AB91" s="491">
        <f t="shared" si="15"/>
        <v>0</v>
      </c>
      <c r="AC91" s="492">
        <f t="shared" ref="AC91:AC153" si="23">(IF(ISERROR(U91/M91),0,U91/M91))*1000</f>
        <v>0</v>
      </c>
    </row>
    <row r="92" spans="1:29" x14ac:dyDescent="0.25">
      <c r="A92" s="493" t="str">
        <f t="shared" si="18"/>
        <v>Don't</v>
      </c>
      <c r="B92" s="461" t="str">
        <f t="shared" si="18"/>
        <v>MEX</v>
      </c>
      <c r="D92" t="str">
        <f t="shared" si="18"/>
        <v>IMP SLS</v>
      </c>
      <c r="E92" s="462" t="str">
        <f t="shared" si="22"/>
        <v>BMP 9</v>
      </c>
      <c r="F92" s="489">
        <f>'Imp-Mex'!E$209</f>
        <v>0</v>
      </c>
      <c r="G92" s="430">
        <f>'Imp-Mex'!F$209</f>
        <v>0</v>
      </c>
      <c r="H92" s="430">
        <f>'Imp-Mex'!G$209</f>
        <v>0</v>
      </c>
      <c r="I92" s="430">
        <f>'Imp-Mex'!H$209</f>
        <v>0</v>
      </c>
      <c r="J92" s="430">
        <f>'Imp-Mex'!I$209</f>
        <v>0</v>
      </c>
      <c r="K92" s="430">
        <f>'Imp-Mex'!J$209</f>
        <v>0</v>
      </c>
      <c r="L92" s="430">
        <f>'Imp-Mex'!K$209</f>
        <v>0</v>
      </c>
      <c r="M92" s="430">
        <f>'Imp-Mex'!L$209</f>
        <v>0</v>
      </c>
      <c r="N92" s="489">
        <f>'Imp-Mex'!E$210/1000</f>
        <v>0</v>
      </c>
      <c r="O92" s="430">
        <f>'Imp-Mex'!F$210/1000</f>
        <v>0</v>
      </c>
      <c r="P92" s="430">
        <f>'Imp-Mex'!G$210/1000</f>
        <v>0</v>
      </c>
      <c r="Q92" s="430">
        <f>'Imp-Mex'!H$210/1000</f>
        <v>0</v>
      </c>
      <c r="R92" s="430">
        <f>'Imp-Mex'!I$210/1000</f>
        <v>0</v>
      </c>
      <c r="S92" s="430">
        <f>'Imp-Mex'!J$210/1000</f>
        <v>0</v>
      </c>
      <c r="T92" s="430">
        <f>'Imp-Mex'!K$210/1000</f>
        <v>0</v>
      </c>
      <c r="U92" s="430">
        <f>'Imp-Mex'!L$210/1000</f>
        <v>0</v>
      </c>
      <c r="V92" s="490">
        <f t="shared" ref="V92:AB128" si="24">(IF(ISERROR(N92/F92),0,N92/F92))*1000</f>
        <v>0</v>
      </c>
      <c r="W92" s="491">
        <f t="shared" si="24"/>
        <v>0</v>
      </c>
      <c r="X92" s="491">
        <f t="shared" si="24"/>
        <v>0</v>
      </c>
      <c r="Y92" s="491">
        <f t="shared" si="24"/>
        <v>0</v>
      </c>
      <c r="Z92" s="491">
        <f t="shared" si="24"/>
        <v>0</v>
      </c>
      <c r="AA92" s="491">
        <f t="shared" si="24"/>
        <v>0</v>
      </c>
      <c r="AB92" s="491">
        <f t="shared" si="24"/>
        <v>0</v>
      </c>
      <c r="AC92" s="492">
        <f t="shared" si="23"/>
        <v>0</v>
      </c>
    </row>
    <row r="93" spans="1:29" x14ac:dyDescent="0.25">
      <c r="A93" s="493" t="str">
        <f t="shared" si="18"/>
        <v>Don't</v>
      </c>
      <c r="B93" s="461" t="str">
        <f t="shared" si="18"/>
        <v>MEX</v>
      </c>
      <c r="D93" t="str">
        <f t="shared" si="18"/>
        <v>IMP SLS</v>
      </c>
      <c r="E93" s="462" t="str">
        <f t="shared" si="22"/>
        <v>BMP 10</v>
      </c>
      <c r="F93" s="489">
        <f>'Imp-Mex'!E$214</f>
        <v>0</v>
      </c>
      <c r="G93" s="430">
        <f>'Imp-Mex'!F$214</f>
        <v>0</v>
      </c>
      <c r="H93" s="430">
        <f>'Imp-Mex'!G$214</f>
        <v>0</v>
      </c>
      <c r="I93" s="430">
        <f>'Imp-Mex'!H$214</f>
        <v>0</v>
      </c>
      <c r="J93" s="430">
        <f>'Imp-Mex'!I$214</f>
        <v>0</v>
      </c>
      <c r="K93" s="430">
        <f>'Imp-Mex'!J$214</f>
        <v>0</v>
      </c>
      <c r="L93" s="430">
        <f>'Imp-Mex'!K$214</f>
        <v>0</v>
      </c>
      <c r="M93" s="430">
        <f>'Imp-Mex'!L$214</f>
        <v>0</v>
      </c>
      <c r="N93" s="489">
        <f>'Imp-Mex'!E$215/1000</f>
        <v>0</v>
      </c>
      <c r="O93" s="430">
        <f>'Imp-Mex'!F$215/1000</f>
        <v>0</v>
      </c>
      <c r="P93" s="430">
        <f>'Imp-Mex'!G$215/1000</f>
        <v>0</v>
      </c>
      <c r="Q93" s="430">
        <f>'Imp-Mex'!H$215/1000</f>
        <v>0</v>
      </c>
      <c r="R93" s="430">
        <f>'Imp-Mex'!I$215/1000</f>
        <v>0</v>
      </c>
      <c r="S93" s="430">
        <f>'Imp-Mex'!J$215/1000</f>
        <v>0</v>
      </c>
      <c r="T93" s="430">
        <f>'Imp-Mex'!K$215/1000</f>
        <v>0</v>
      </c>
      <c r="U93" s="430">
        <f>'Imp-Mex'!L$215/1000</f>
        <v>0</v>
      </c>
      <c r="V93" s="490">
        <f t="shared" si="24"/>
        <v>0</v>
      </c>
      <c r="W93" s="491">
        <f t="shared" si="24"/>
        <v>0</v>
      </c>
      <c r="X93" s="491">
        <f t="shared" si="24"/>
        <v>0</v>
      </c>
      <c r="Y93" s="491">
        <f t="shared" si="24"/>
        <v>0</v>
      </c>
      <c r="Z93" s="491">
        <f t="shared" si="24"/>
        <v>0</v>
      </c>
      <c r="AA93" s="491">
        <f t="shared" si="24"/>
        <v>0</v>
      </c>
      <c r="AB93" s="491">
        <f t="shared" si="24"/>
        <v>0</v>
      </c>
      <c r="AC93" s="492">
        <f t="shared" si="23"/>
        <v>0</v>
      </c>
    </row>
    <row r="94" spans="1:29" x14ac:dyDescent="0.25">
      <c r="A94" s="493" t="str">
        <f>IF(SUM(F94:U109)&gt;=0.01,"Copy","Don't")</f>
        <v>Don't</v>
      </c>
      <c r="B94" s="494" t="s">
        <v>556</v>
      </c>
      <c r="C94" s="495"/>
      <c r="D94" s="495" t="s">
        <v>607</v>
      </c>
      <c r="E94" s="496" t="s">
        <v>608</v>
      </c>
      <c r="F94" s="489">
        <f>'Imp-US'!E$98</f>
        <v>0</v>
      </c>
      <c r="G94" s="430">
        <f>'Imp-US'!F$98</f>
        <v>0</v>
      </c>
      <c r="H94" s="430">
        <f>'Imp-US'!G$98</f>
        <v>0</v>
      </c>
      <c r="I94" s="430">
        <f>'Imp-US'!H$98</f>
        <v>0</v>
      </c>
      <c r="J94" s="430">
        <f>'Imp-US'!I$98</f>
        <v>0</v>
      </c>
      <c r="K94" s="430">
        <f>'Imp-US'!J$98</f>
        <v>0</v>
      </c>
      <c r="L94" s="430">
        <f>'Imp-US'!K$98</f>
        <v>0</v>
      </c>
      <c r="M94" s="430">
        <f>'Imp-US'!L$98</f>
        <v>0</v>
      </c>
      <c r="N94" s="489">
        <f>'Imp-US'!E$99/1000</f>
        <v>0</v>
      </c>
      <c r="O94" s="430">
        <f>'Imp-US'!F$99/1000</f>
        <v>0</v>
      </c>
      <c r="P94" s="430">
        <f>'Imp-US'!G$99/1000</f>
        <v>0</v>
      </c>
      <c r="Q94" s="430">
        <f>'Imp-US'!H$99/1000</f>
        <v>0</v>
      </c>
      <c r="R94" s="430">
        <f>'Imp-US'!I$99/1000</f>
        <v>0</v>
      </c>
      <c r="S94" s="430">
        <f>'Imp-US'!J$99/1000</f>
        <v>0</v>
      </c>
      <c r="T94" s="430">
        <f>'Imp-US'!K$99/1000</f>
        <v>0</v>
      </c>
      <c r="U94" s="430">
        <f>'Imp-US'!L$99/1000</f>
        <v>0</v>
      </c>
      <c r="V94" s="490">
        <f t="shared" si="24"/>
        <v>0</v>
      </c>
      <c r="W94" s="491">
        <f t="shared" si="24"/>
        <v>0</v>
      </c>
      <c r="X94" s="491">
        <f t="shared" si="24"/>
        <v>0</v>
      </c>
      <c r="Y94" s="491">
        <f t="shared" si="24"/>
        <v>0</v>
      </c>
      <c r="Z94" s="491">
        <f t="shared" si="24"/>
        <v>0</v>
      </c>
      <c r="AA94" s="491">
        <f t="shared" si="24"/>
        <v>0</v>
      </c>
      <c r="AB94" s="491">
        <f t="shared" si="24"/>
        <v>0</v>
      </c>
      <c r="AC94" s="492">
        <f t="shared" si="23"/>
        <v>0</v>
      </c>
    </row>
    <row r="95" spans="1:29" x14ac:dyDescent="0.25">
      <c r="A95" s="493" t="str">
        <f>A94</f>
        <v>Don't</v>
      </c>
      <c r="B95" s="461" t="str">
        <f>B94</f>
        <v>USA</v>
      </c>
      <c r="D95" t="str">
        <f>D94</f>
        <v>IMP</v>
      </c>
      <c r="E95" s="462" t="s">
        <v>609</v>
      </c>
      <c r="F95" s="489">
        <f>'Imp-US'!E$103</f>
        <v>0</v>
      </c>
      <c r="G95" s="430">
        <f>'Imp-US'!F$103</f>
        <v>0</v>
      </c>
      <c r="H95" s="430">
        <f>'Imp-US'!G$103</f>
        <v>0</v>
      </c>
      <c r="I95" s="430">
        <f>'Imp-US'!H$103</f>
        <v>0</v>
      </c>
      <c r="J95" s="430">
        <f>'Imp-US'!I$103</f>
        <v>0</v>
      </c>
      <c r="K95" s="430">
        <f>'Imp-US'!J$103</f>
        <v>0</v>
      </c>
      <c r="L95" s="430">
        <f>'Imp-US'!K$103</f>
        <v>0</v>
      </c>
      <c r="M95" s="430">
        <f>'Imp-US'!L$103</f>
        <v>0</v>
      </c>
      <c r="N95" s="489">
        <f>'Imp-US'!E$104/1000</f>
        <v>0</v>
      </c>
      <c r="O95" s="430">
        <f>'Imp-US'!F$104/1000</f>
        <v>0</v>
      </c>
      <c r="P95" s="430">
        <f>'Imp-US'!G$104/1000</f>
        <v>0</v>
      </c>
      <c r="Q95" s="430">
        <f>'Imp-US'!H$104/1000</f>
        <v>0</v>
      </c>
      <c r="R95" s="430">
        <f>'Imp-US'!I$104/1000</f>
        <v>0</v>
      </c>
      <c r="S95" s="430">
        <f>'Imp-US'!J$104/1000</f>
        <v>0</v>
      </c>
      <c r="T95" s="430">
        <f>'Imp-US'!K$104/1000</f>
        <v>0</v>
      </c>
      <c r="U95" s="430">
        <f>'Imp-US'!L$104/1000</f>
        <v>0</v>
      </c>
      <c r="V95" s="490">
        <f t="shared" si="24"/>
        <v>0</v>
      </c>
      <c r="W95" s="491">
        <f t="shared" si="24"/>
        <v>0</v>
      </c>
      <c r="X95" s="491">
        <f t="shared" si="24"/>
        <v>0</v>
      </c>
      <c r="Y95" s="491">
        <f t="shared" si="24"/>
        <v>0</v>
      </c>
      <c r="Z95" s="491">
        <f t="shared" si="24"/>
        <v>0</v>
      </c>
      <c r="AA95" s="491">
        <f t="shared" si="24"/>
        <v>0</v>
      </c>
      <c r="AB95" s="491">
        <f t="shared" si="24"/>
        <v>0</v>
      </c>
      <c r="AC95" s="492">
        <f t="shared" si="23"/>
        <v>0</v>
      </c>
    </row>
    <row r="96" spans="1:29" x14ac:dyDescent="0.25">
      <c r="A96" s="493" t="str">
        <f t="shared" ref="A96:D113" si="25">A95</f>
        <v>Don't</v>
      </c>
      <c r="B96" s="461" t="str">
        <f t="shared" si="25"/>
        <v>USA</v>
      </c>
      <c r="D96" t="str">
        <f t="shared" si="25"/>
        <v>IMP</v>
      </c>
      <c r="E96" s="462" t="s">
        <v>610</v>
      </c>
      <c r="F96" s="489">
        <f>'Imp-US'!E$108</f>
        <v>0</v>
      </c>
      <c r="G96" s="430">
        <f>'Imp-US'!F$108</f>
        <v>0</v>
      </c>
      <c r="H96" s="430">
        <f>'Imp-US'!G$108</f>
        <v>0</v>
      </c>
      <c r="I96" s="430">
        <f>'Imp-US'!H$108</f>
        <v>0</v>
      </c>
      <c r="J96" s="430">
        <f>'Imp-US'!I$108</f>
        <v>0</v>
      </c>
      <c r="K96" s="430">
        <f>'Imp-US'!J$108</f>
        <v>0</v>
      </c>
      <c r="L96" s="430">
        <f>'Imp-US'!K$108</f>
        <v>0</v>
      </c>
      <c r="M96" s="430">
        <f>'Imp-US'!L$108</f>
        <v>0</v>
      </c>
      <c r="N96" s="489">
        <f>'Imp-US'!E$109/1000</f>
        <v>0</v>
      </c>
      <c r="O96" s="430">
        <f>'Imp-US'!F$109/1000</f>
        <v>0</v>
      </c>
      <c r="P96" s="430">
        <f>'Imp-US'!G$109/1000</f>
        <v>0</v>
      </c>
      <c r="Q96" s="430">
        <f>'Imp-US'!H$109/1000</f>
        <v>0</v>
      </c>
      <c r="R96" s="430">
        <f>'Imp-US'!I$109/1000</f>
        <v>0</v>
      </c>
      <c r="S96" s="430">
        <f>'Imp-US'!J$109/1000</f>
        <v>0</v>
      </c>
      <c r="T96" s="430">
        <f>'Imp-US'!K$109/1000</f>
        <v>0</v>
      </c>
      <c r="U96" s="430">
        <f>'Imp-US'!L$109/1000</f>
        <v>0</v>
      </c>
      <c r="V96" s="490">
        <f t="shared" si="24"/>
        <v>0</v>
      </c>
      <c r="W96" s="491">
        <f t="shared" si="24"/>
        <v>0</v>
      </c>
      <c r="X96" s="491">
        <f t="shared" si="24"/>
        <v>0</v>
      </c>
      <c r="Y96" s="491">
        <f t="shared" si="24"/>
        <v>0</v>
      </c>
      <c r="Z96" s="491">
        <f t="shared" si="24"/>
        <v>0</v>
      </c>
      <c r="AA96" s="491">
        <f t="shared" si="24"/>
        <v>0</v>
      </c>
      <c r="AB96" s="491">
        <f t="shared" si="24"/>
        <v>0</v>
      </c>
      <c r="AC96" s="492">
        <f t="shared" si="23"/>
        <v>0</v>
      </c>
    </row>
    <row r="97" spans="1:29" x14ac:dyDescent="0.25">
      <c r="A97" s="493" t="str">
        <f t="shared" si="25"/>
        <v>Don't</v>
      </c>
      <c r="B97" s="461" t="str">
        <f t="shared" si="25"/>
        <v>USA</v>
      </c>
      <c r="D97" t="str">
        <f t="shared" si="25"/>
        <v>IMP</v>
      </c>
      <c r="E97" s="462" t="s">
        <v>611</v>
      </c>
      <c r="F97" s="489">
        <f>'Imp-US'!E$113</f>
        <v>0</v>
      </c>
      <c r="G97" s="430">
        <f>'Imp-US'!F$113</f>
        <v>0</v>
      </c>
      <c r="H97" s="430">
        <f>'Imp-US'!G$113</f>
        <v>0</v>
      </c>
      <c r="I97" s="430">
        <f>'Imp-US'!H$113</f>
        <v>0</v>
      </c>
      <c r="J97" s="430">
        <f>'Imp-US'!I$113</f>
        <v>0</v>
      </c>
      <c r="K97" s="430">
        <f>'Imp-US'!J$113</f>
        <v>0</v>
      </c>
      <c r="L97" s="430">
        <f>'Imp-US'!K$113</f>
        <v>0</v>
      </c>
      <c r="M97" s="430">
        <f>'Imp-US'!L$113</f>
        <v>0</v>
      </c>
      <c r="N97" s="489">
        <f>'Imp-US'!E$114/1000</f>
        <v>0</v>
      </c>
      <c r="O97" s="430">
        <f>'Imp-US'!F$114/1000</f>
        <v>0</v>
      </c>
      <c r="P97" s="430">
        <f>'Imp-US'!G$114/1000</f>
        <v>0</v>
      </c>
      <c r="Q97" s="430">
        <f>'Imp-US'!H$114/1000</f>
        <v>0</v>
      </c>
      <c r="R97" s="430">
        <f>'Imp-US'!I$114/1000</f>
        <v>0</v>
      </c>
      <c r="S97" s="430">
        <f>'Imp-US'!J$114/1000</f>
        <v>0</v>
      </c>
      <c r="T97" s="430">
        <f>'Imp-US'!K$114/1000</f>
        <v>0</v>
      </c>
      <c r="U97" s="430">
        <f>'Imp-US'!L$114/1000</f>
        <v>0</v>
      </c>
      <c r="V97" s="490">
        <f t="shared" si="24"/>
        <v>0</v>
      </c>
      <c r="W97" s="491">
        <f t="shared" si="24"/>
        <v>0</v>
      </c>
      <c r="X97" s="491">
        <f t="shared" si="24"/>
        <v>0</v>
      </c>
      <c r="Y97" s="491">
        <f t="shared" si="24"/>
        <v>0</v>
      </c>
      <c r="Z97" s="491">
        <f t="shared" si="24"/>
        <v>0</v>
      </c>
      <c r="AA97" s="491">
        <f t="shared" si="24"/>
        <v>0</v>
      </c>
      <c r="AB97" s="491">
        <f t="shared" si="24"/>
        <v>0</v>
      </c>
      <c r="AC97" s="492">
        <f t="shared" si="23"/>
        <v>0</v>
      </c>
    </row>
    <row r="98" spans="1:29" x14ac:dyDescent="0.25">
      <c r="A98" s="493" t="str">
        <f t="shared" si="25"/>
        <v>Don't</v>
      </c>
      <c r="B98" s="461" t="str">
        <f t="shared" si="25"/>
        <v>USA</v>
      </c>
      <c r="D98" t="str">
        <f t="shared" si="25"/>
        <v>IMP</v>
      </c>
      <c r="E98" s="462" t="s">
        <v>612</v>
      </c>
      <c r="F98" s="489">
        <f>'Imp-US'!E$118</f>
        <v>0</v>
      </c>
      <c r="G98" s="430">
        <f>'Imp-US'!F$118</f>
        <v>0</v>
      </c>
      <c r="H98" s="430">
        <f>'Imp-US'!G$118</f>
        <v>0</v>
      </c>
      <c r="I98" s="430">
        <f>'Imp-US'!H$118</f>
        <v>0</v>
      </c>
      <c r="J98" s="430">
        <f>'Imp-US'!I$118</f>
        <v>0</v>
      </c>
      <c r="K98" s="430">
        <f>'Imp-US'!J$118</f>
        <v>0</v>
      </c>
      <c r="L98" s="430">
        <f>'Imp-US'!K$118</f>
        <v>0</v>
      </c>
      <c r="M98" s="430">
        <f>'Imp-US'!L$118</f>
        <v>0</v>
      </c>
      <c r="N98" s="489">
        <f>'Imp-US'!E$119/1000</f>
        <v>0</v>
      </c>
      <c r="O98" s="430">
        <f>'Imp-US'!F$119/1000</f>
        <v>0</v>
      </c>
      <c r="P98" s="430">
        <f>'Imp-US'!G$119/1000</f>
        <v>0</v>
      </c>
      <c r="Q98" s="430">
        <f>'Imp-US'!H$119/1000</f>
        <v>0</v>
      </c>
      <c r="R98" s="430">
        <f>'Imp-US'!I$119/1000</f>
        <v>0</v>
      </c>
      <c r="S98" s="430">
        <f>'Imp-US'!J$119/1000</f>
        <v>0</v>
      </c>
      <c r="T98" s="430">
        <f>'Imp-US'!K$119/1000</f>
        <v>0</v>
      </c>
      <c r="U98" s="430">
        <f>'Imp-US'!L$119/1000</f>
        <v>0</v>
      </c>
      <c r="V98" s="490">
        <f t="shared" si="24"/>
        <v>0</v>
      </c>
      <c r="W98" s="491">
        <f t="shared" si="24"/>
        <v>0</v>
      </c>
      <c r="X98" s="491">
        <f t="shared" si="24"/>
        <v>0</v>
      </c>
      <c r="Y98" s="491">
        <f t="shared" si="24"/>
        <v>0</v>
      </c>
      <c r="Z98" s="491">
        <f t="shared" si="24"/>
        <v>0</v>
      </c>
      <c r="AA98" s="491">
        <f t="shared" si="24"/>
        <v>0</v>
      </c>
      <c r="AB98" s="491">
        <f t="shared" si="24"/>
        <v>0</v>
      </c>
      <c r="AC98" s="492">
        <f t="shared" si="23"/>
        <v>0</v>
      </c>
    </row>
    <row r="99" spans="1:29" x14ac:dyDescent="0.25">
      <c r="A99" s="493" t="str">
        <f t="shared" si="25"/>
        <v>Don't</v>
      </c>
      <c r="B99" s="461" t="str">
        <f t="shared" si="25"/>
        <v>USA</v>
      </c>
      <c r="D99" t="str">
        <f t="shared" si="25"/>
        <v>IMP</v>
      </c>
      <c r="E99" s="462" t="s">
        <v>613</v>
      </c>
      <c r="F99" s="489">
        <f>'Imp-US'!E$123</f>
        <v>0</v>
      </c>
      <c r="G99" s="430">
        <f>'Imp-US'!F$123</f>
        <v>0</v>
      </c>
      <c r="H99" s="430">
        <f>'Imp-US'!G$123</f>
        <v>0</v>
      </c>
      <c r="I99" s="430">
        <f>'Imp-US'!H$123</f>
        <v>0</v>
      </c>
      <c r="J99" s="430">
        <f>'Imp-US'!I$123</f>
        <v>0</v>
      </c>
      <c r="K99" s="430">
        <f>'Imp-US'!J$123</f>
        <v>0</v>
      </c>
      <c r="L99" s="430">
        <f>'Imp-US'!K$123</f>
        <v>0</v>
      </c>
      <c r="M99" s="430">
        <f>'Imp-US'!L$123</f>
        <v>0</v>
      </c>
      <c r="N99" s="489">
        <f>'Imp-US'!E$124/1000</f>
        <v>0</v>
      </c>
      <c r="O99" s="430">
        <f>'Imp-US'!F$124/1000</f>
        <v>0</v>
      </c>
      <c r="P99" s="430">
        <f>'Imp-US'!G$124/1000</f>
        <v>0</v>
      </c>
      <c r="Q99" s="430">
        <f>'Imp-US'!H$124/1000</f>
        <v>0</v>
      </c>
      <c r="R99" s="430">
        <f>'Imp-US'!I$124/1000</f>
        <v>0</v>
      </c>
      <c r="S99" s="430">
        <f>'Imp-US'!J$124/1000</f>
        <v>0</v>
      </c>
      <c r="T99" s="430">
        <f>'Imp-US'!K$124/1000</f>
        <v>0</v>
      </c>
      <c r="U99" s="430">
        <f>'Imp-US'!L$124/1000</f>
        <v>0</v>
      </c>
      <c r="V99" s="490">
        <f t="shared" si="24"/>
        <v>0</v>
      </c>
      <c r="W99" s="491">
        <f t="shared" si="24"/>
        <v>0</v>
      </c>
      <c r="X99" s="491">
        <f t="shared" si="24"/>
        <v>0</v>
      </c>
      <c r="Y99" s="491">
        <f t="shared" si="24"/>
        <v>0</v>
      </c>
      <c r="Z99" s="491">
        <f t="shared" si="24"/>
        <v>0</v>
      </c>
      <c r="AA99" s="491">
        <f t="shared" si="24"/>
        <v>0</v>
      </c>
      <c r="AB99" s="491">
        <f t="shared" si="24"/>
        <v>0</v>
      </c>
      <c r="AC99" s="492">
        <f t="shared" si="23"/>
        <v>0</v>
      </c>
    </row>
    <row r="100" spans="1:29" x14ac:dyDescent="0.25">
      <c r="A100" s="493" t="str">
        <f t="shared" si="25"/>
        <v>Don't</v>
      </c>
      <c r="B100" s="461" t="str">
        <f t="shared" si="25"/>
        <v>USA</v>
      </c>
      <c r="D100" t="str">
        <f t="shared" si="25"/>
        <v>IMP</v>
      </c>
      <c r="E100" s="462" t="s">
        <v>614</v>
      </c>
      <c r="F100" s="489">
        <f>'Imp-US'!E$128</f>
        <v>0</v>
      </c>
      <c r="G100" s="430">
        <f>'Imp-US'!F$128</f>
        <v>0</v>
      </c>
      <c r="H100" s="430">
        <f>'Imp-US'!G$128</f>
        <v>0</v>
      </c>
      <c r="I100" s="430">
        <f>'Imp-US'!H$128</f>
        <v>0</v>
      </c>
      <c r="J100" s="430">
        <f>'Imp-US'!I$128</f>
        <v>0</v>
      </c>
      <c r="K100" s="430">
        <f>'Imp-US'!J$128</f>
        <v>0</v>
      </c>
      <c r="L100" s="430">
        <f>'Imp-US'!K$128</f>
        <v>0</v>
      </c>
      <c r="M100" s="430">
        <f>'Imp-US'!L$128</f>
        <v>0</v>
      </c>
      <c r="N100" s="489">
        <f>'Imp-US'!E$129/1000</f>
        <v>0</v>
      </c>
      <c r="O100" s="430">
        <f>'Imp-US'!F$129/1000</f>
        <v>0</v>
      </c>
      <c r="P100" s="430">
        <f>'Imp-US'!G$129/1000</f>
        <v>0</v>
      </c>
      <c r="Q100" s="430">
        <f>'Imp-US'!H$129/1000</f>
        <v>0</v>
      </c>
      <c r="R100" s="430">
        <f>'Imp-US'!I$129/1000</f>
        <v>0</v>
      </c>
      <c r="S100" s="430">
        <f>'Imp-US'!J$129/1000</f>
        <v>0</v>
      </c>
      <c r="T100" s="430">
        <f>'Imp-US'!K$129/1000</f>
        <v>0</v>
      </c>
      <c r="U100" s="430">
        <f>'Imp-US'!L$129/1000</f>
        <v>0</v>
      </c>
      <c r="V100" s="490">
        <f t="shared" si="24"/>
        <v>0</v>
      </c>
      <c r="W100" s="491">
        <f t="shared" si="24"/>
        <v>0</v>
      </c>
      <c r="X100" s="491">
        <f t="shared" si="24"/>
        <v>0</v>
      </c>
      <c r="Y100" s="491">
        <f t="shared" si="24"/>
        <v>0</v>
      </c>
      <c r="Z100" s="491">
        <f t="shared" si="24"/>
        <v>0</v>
      </c>
      <c r="AA100" s="491">
        <f t="shared" si="24"/>
        <v>0</v>
      </c>
      <c r="AB100" s="491">
        <f t="shared" si="24"/>
        <v>0</v>
      </c>
      <c r="AC100" s="492">
        <f t="shared" si="23"/>
        <v>0</v>
      </c>
    </row>
    <row r="101" spans="1:29" x14ac:dyDescent="0.25">
      <c r="A101" s="493" t="str">
        <f t="shared" si="25"/>
        <v>Don't</v>
      </c>
      <c r="B101" s="461" t="str">
        <f t="shared" si="25"/>
        <v>USA</v>
      </c>
      <c r="D101" t="str">
        <f t="shared" si="25"/>
        <v>IMP</v>
      </c>
      <c r="E101" s="462" t="s">
        <v>615</v>
      </c>
      <c r="F101" s="489">
        <f>'Imp-US'!E$133</f>
        <v>0</v>
      </c>
      <c r="G101" s="430">
        <f>'Imp-US'!F$133</f>
        <v>0</v>
      </c>
      <c r="H101" s="430">
        <f>'Imp-US'!G$133</f>
        <v>0</v>
      </c>
      <c r="I101" s="430">
        <f>'Imp-US'!H$133</f>
        <v>0</v>
      </c>
      <c r="J101" s="430">
        <f>'Imp-US'!I$133</f>
        <v>0</v>
      </c>
      <c r="K101" s="430">
        <f>'Imp-US'!J$133</f>
        <v>0</v>
      </c>
      <c r="L101" s="430">
        <f>'Imp-US'!K$133</f>
        <v>0</v>
      </c>
      <c r="M101" s="430">
        <f>'Imp-US'!L$133</f>
        <v>0</v>
      </c>
      <c r="N101" s="489">
        <f>'Imp-US'!E$134/1000</f>
        <v>0</v>
      </c>
      <c r="O101" s="430">
        <f>'Imp-US'!F$134/1000</f>
        <v>0</v>
      </c>
      <c r="P101" s="430">
        <f>'Imp-US'!G$134/1000</f>
        <v>0</v>
      </c>
      <c r="Q101" s="430">
        <f>'Imp-US'!H$134/1000</f>
        <v>0</v>
      </c>
      <c r="R101" s="430">
        <f>'Imp-US'!I$134/1000</f>
        <v>0</v>
      </c>
      <c r="S101" s="430">
        <f>'Imp-US'!J$134/1000</f>
        <v>0</v>
      </c>
      <c r="T101" s="430">
        <f>'Imp-US'!K$134/1000</f>
        <v>0</v>
      </c>
      <c r="U101" s="430">
        <f>'Imp-US'!L$134/1000</f>
        <v>0</v>
      </c>
      <c r="V101" s="490">
        <f t="shared" si="24"/>
        <v>0</v>
      </c>
      <c r="W101" s="491">
        <f t="shared" si="24"/>
        <v>0</v>
      </c>
      <c r="X101" s="491">
        <f t="shared" si="24"/>
        <v>0</v>
      </c>
      <c r="Y101" s="491">
        <f t="shared" si="24"/>
        <v>0</v>
      </c>
      <c r="Z101" s="491">
        <f t="shared" si="24"/>
        <v>0</v>
      </c>
      <c r="AA101" s="491">
        <f t="shared" si="24"/>
        <v>0</v>
      </c>
      <c r="AB101" s="491">
        <f t="shared" si="24"/>
        <v>0</v>
      </c>
      <c r="AC101" s="492">
        <f t="shared" si="23"/>
        <v>0</v>
      </c>
    </row>
    <row r="102" spans="1:29" x14ac:dyDescent="0.25">
      <c r="A102" s="493" t="str">
        <f t="shared" si="25"/>
        <v>Don't</v>
      </c>
      <c r="B102" s="461" t="str">
        <f t="shared" si="25"/>
        <v>USA</v>
      </c>
      <c r="D102" t="str">
        <f t="shared" si="25"/>
        <v>IMP</v>
      </c>
      <c r="E102" s="462" t="s">
        <v>616</v>
      </c>
      <c r="F102" s="489">
        <f>'Imp-US'!E$138</f>
        <v>0</v>
      </c>
      <c r="G102" s="430">
        <f>'Imp-US'!F$138</f>
        <v>0</v>
      </c>
      <c r="H102" s="430">
        <f>'Imp-US'!G$138</f>
        <v>0</v>
      </c>
      <c r="I102" s="430">
        <f>'Imp-US'!H$138</f>
        <v>0</v>
      </c>
      <c r="J102" s="430">
        <f>'Imp-US'!I$138</f>
        <v>0</v>
      </c>
      <c r="K102" s="430">
        <f>'Imp-US'!J$138</f>
        <v>0</v>
      </c>
      <c r="L102" s="430">
        <f>'Imp-US'!K$138</f>
        <v>0</v>
      </c>
      <c r="M102" s="430">
        <f>'Imp-US'!L$138</f>
        <v>0</v>
      </c>
      <c r="N102" s="489">
        <f>'Imp-US'!E$139/1000</f>
        <v>0</v>
      </c>
      <c r="O102" s="430">
        <f>'Imp-US'!F$139/1000</f>
        <v>0</v>
      </c>
      <c r="P102" s="430">
        <f>'Imp-US'!G$139/1000</f>
        <v>0</v>
      </c>
      <c r="Q102" s="430">
        <f>'Imp-US'!H$139/1000</f>
        <v>0</v>
      </c>
      <c r="R102" s="430">
        <f>'Imp-US'!I$139/1000</f>
        <v>0</v>
      </c>
      <c r="S102" s="430">
        <f>'Imp-US'!J$139/1000</f>
        <v>0</v>
      </c>
      <c r="T102" s="430">
        <f>'Imp-US'!K$139/1000</f>
        <v>0</v>
      </c>
      <c r="U102" s="430">
        <f>'Imp-US'!L$139/1000</f>
        <v>0</v>
      </c>
      <c r="V102" s="490">
        <f t="shared" si="24"/>
        <v>0</v>
      </c>
      <c r="W102" s="491">
        <f t="shared" si="24"/>
        <v>0</v>
      </c>
      <c r="X102" s="491">
        <f t="shared" si="24"/>
        <v>0</v>
      </c>
      <c r="Y102" s="491">
        <f t="shared" si="24"/>
        <v>0</v>
      </c>
      <c r="Z102" s="491">
        <f t="shared" si="24"/>
        <v>0</v>
      </c>
      <c r="AA102" s="491">
        <f t="shared" si="24"/>
        <v>0</v>
      </c>
      <c r="AB102" s="491">
        <f t="shared" si="24"/>
        <v>0</v>
      </c>
      <c r="AC102" s="492">
        <f t="shared" si="23"/>
        <v>0</v>
      </c>
    </row>
    <row r="103" spans="1:29" x14ac:dyDescent="0.25">
      <c r="A103" s="493" t="str">
        <f t="shared" si="25"/>
        <v>Don't</v>
      </c>
      <c r="B103" s="461" t="str">
        <f t="shared" si="25"/>
        <v>USA</v>
      </c>
      <c r="D103" t="str">
        <f t="shared" si="25"/>
        <v>IMP</v>
      </c>
      <c r="E103" s="462" t="s">
        <v>617</v>
      </c>
      <c r="F103" s="489">
        <f>'Imp-US'!E$143</f>
        <v>0</v>
      </c>
      <c r="G103" s="430">
        <f>'Imp-US'!F$143</f>
        <v>0</v>
      </c>
      <c r="H103" s="430">
        <f>'Imp-US'!G$143</f>
        <v>0</v>
      </c>
      <c r="I103" s="430">
        <f>'Imp-US'!H$143</f>
        <v>0</v>
      </c>
      <c r="J103" s="430">
        <f>'Imp-US'!I$143</f>
        <v>0</v>
      </c>
      <c r="K103" s="430">
        <f>'Imp-US'!J$143</f>
        <v>0</v>
      </c>
      <c r="L103" s="430">
        <f>'Imp-US'!K$143</f>
        <v>0</v>
      </c>
      <c r="M103" s="430">
        <f>'Imp-US'!L$143</f>
        <v>0</v>
      </c>
      <c r="N103" s="489">
        <f>'Imp-US'!E$144/1000</f>
        <v>0</v>
      </c>
      <c r="O103" s="430">
        <f>'Imp-US'!F$144/1000</f>
        <v>0</v>
      </c>
      <c r="P103" s="430">
        <f>'Imp-US'!G$144/1000</f>
        <v>0</v>
      </c>
      <c r="Q103" s="430">
        <f>'Imp-US'!H$144/1000</f>
        <v>0</v>
      </c>
      <c r="R103" s="430">
        <f>'Imp-US'!I$144/1000</f>
        <v>0</v>
      </c>
      <c r="S103" s="430">
        <f>'Imp-US'!J$144/1000</f>
        <v>0</v>
      </c>
      <c r="T103" s="430">
        <f>'Imp-US'!K$144/1000</f>
        <v>0</v>
      </c>
      <c r="U103" s="430">
        <f>'Imp-US'!L$144/1000</f>
        <v>0</v>
      </c>
      <c r="V103" s="490">
        <f t="shared" si="24"/>
        <v>0</v>
      </c>
      <c r="W103" s="491">
        <f t="shared" si="24"/>
        <v>0</v>
      </c>
      <c r="X103" s="491">
        <f t="shared" si="24"/>
        <v>0</v>
      </c>
      <c r="Y103" s="491">
        <f t="shared" si="24"/>
        <v>0</v>
      </c>
      <c r="Z103" s="491">
        <f t="shared" si="24"/>
        <v>0</v>
      </c>
      <c r="AA103" s="491">
        <f t="shared" si="24"/>
        <v>0</v>
      </c>
      <c r="AB103" s="491">
        <f t="shared" si="24"/>
        <v>0</v>
      </c>
      <c r="AC103" s="492">
        <f t="shared" si="23"/>
        <v>0</v>
      </c>
    </row>
    <row r="104" spans="1:29" x14ac:dyDescent="0.25">
      <c r="A104" s="493" t="str">
        <f t="shared" si="25"/>
        <v>Don't</v>
      </c>
      <c r="B104" s="461" t="str">
        <f t="shared" si="25"/>
        <v>USA</v>
      </c>
      <c r="D104" t="s">
        <v>618</v>
      </c>
      <c r="E104" s="462" t="str">
        <f t="shared" ref="E104:E109" si="26">E94</f>
        <v>BMP 1</v>
      </c>
      <c r="F104" s="489">
        <f>'Imp-US'!E$169</f>
        <v>0</v>
      </c>
      <c r="G104" s="430">
        <f>'Imp-US'!F$169</f>
        <v>0</v>
      </c>
      <c r="H104" s="430">
        <f>'Imp-US'!G$169</f>
        <v>0</v>
      </c>
      <c r="I104" s="430">
        <f>'Imp-US'!H$169</f>
        <v>0</v>
      </c>
      <c r="J104" s="430">
        <f>'Imp-US'!I$169</f>
        <v>0</v>
      </c>
      <c r="K104" s="430">
        <f>'Imp-US'!J$169</f>
        <v>0</v>
      </c>
      <c r="L104" s="430">
        <f>'Imp-US'!K$169</f>
        <v>0</v>
      </c>
      <c r="M104" s="430">
        <f>'Imp-US'!L$169</f>
        <v>0</v>
      </c>
      <c r="N104" s="489">
        <f>'Imp-US'!E$170/1000</f>
        <v>0</v>
      </c>
      <c r="O104" s="430">
        <f>'Imp-US'!F$170/1000</f>
        <v>0</v>
      </c>
      <c r="P104" s="430">
        <f>'Imp-US'!G$170/1000</f>
        <v>0</v>
      </c>
      <c r="Q104" s="430">
        <f>'Imp-US'!H$170/1000</f>
        <v>0</v>
      </c>
      <c r="R104" s="430">
        <f>'Imp-US'!I$170/1000</f>
        <v>0</v>
      </c>
      <c r="S104" s="430">
        <f>'Imp-US'!J$170/1000</f>
        <v>0</v>
      </c>
      <c r="T104" s="430">
        <f>'Imp-US'!K$170/1000</f>
        <v>0</v>
      </c>
      <c r="U104" s="430">
        <f>'Imp-US'!L$170/1000</f>
        <v>0</v>
      </c>
      <c r="V104" s="490">
        <f t="shared" si="24"/>
        <v>0</v>
      </c>
      <c r="W104" s="491">
        <f t="shared" si="24"/>
        <v>0</v>
      </c>
      <c r="X104" s="491">
        <f t="shared" si="24"/>
        <v>0</v>
      </c>
      <c r="Y104" s="491">
        <f t="shared" si="24"/>
        <v>0</v>
      </c>
      <c r="Z104" s="491">
        <f t="shared" si="24"/>
        <v>0</v>
      </c>
      <c r="AA104" s="491">
        <f t="shared" si="24"/>
        <v>0</v>
      </c>
      <c r="AB104" s="491">
        <f t="shared" si="24"/>
        <v>0</v>
      </c>
      <c r="AC104" s="492">
        <f t="shared" si="23"/>
        <v>0</v>
      </c>
    </row>
    <row r="105" spans="1:29" x14ac:dyDescent="0.25">
      <c r="A105" s="493" t="str">
        <f t="shared" si="25"/>
        <v>Don't</v>
      </c>
      <c r="B105" s="461" t="str">
        <f t="shared" si="25"/>
        <v>USA</v>
      </c>
      <c r="D105" t="str">
        <f>D104</f>
        <v>IMP SLS</v>
      </c>
      <c r="E105" s="462" t="str">
        <f t="shared" si="26"/>
        <v>BMP 2</v>
      </c>
      <c r="F105" s="489">
        <f>'Imp-US'!E$174</f>
        <v>0</v>
      </c>
      <c r="G105" s="430">
        <f>'Imp-US'!F$174</f>
        <v>0</v>
      </c>
      <c r="H105" s="430">
        <f>'Imp-US'!G$174</f>
        <v>0</v>
      </c>
      <c r="I105" s="430">
        <f>'Imp-US'!H$174</f>
        <v>0</v>
      </c>
      <c r="J105" s="430">
        <f>'Imp-US'!I$174</f>
        <v>0</v>
      </c>
      <c r="K105" s="430">
        <f>'Imp-US'!J$174</f>
        <v>0</v>
      </c>
      <c r="L105" s="430">
        <f>'Imp-US'!K$174</f>
        <v>0</v>
      </c>
      <c r="M105" s="430">
        <f>'Imp-US'!L$174</f>
        <v>0</v>
      </c>
      <c r="N105" s="489">
        <f>'Imp-US'!E$175/1000</f>
        <v>0</v>
      </c>
      <c r="O105" s="430">
        <f>'Imp-US'!F$175/1000</f>
        <v>0</v>
      </c>
      <c r="P105" s="430">
        <f>'Imp-US'!G$175/1000</f>
        <v>0</v>
      </c>
      <c r="Q105" s="430">
        <f>'Imp-US'!H$175/1000</f>
        <v>0</v>
      </c>
      <c r="R105" s="430">
        <f>'Imp-US'!I$175/1000</f>
        <v>0</v>
      </c>
      <c r="S105" s="430">
        <f>'Imp-US'!J$175/1000</f>
        <v>0</v>
      </c>
      <c r="T105" s="430">
        <f>'Imp-US'!K$175/1000</f>
        <v>0</v>
      </c>
      <c r="U105" s="430">
        <f>'Imp-US'!L$175/1000</f>
        <v>0</v>
      </c>
      <c r="V105" s="490">
        <f t="shared" si="24"/>
        <v>0</v>
      </c>
      <c r="W105" s="491">
        <f t="shared" si="24"/>
        <v>0</v>
      </c>
      <c r="X105" s="491">
        <f t="shared" si="24"/>
        <v>0</v>
      </c>
      <c r="Y105" s="491">
        <f t="shared" si="24"/>
        <v>0</v>
      </c>
      <c r="Z105" s="491">
        <f t="shared" si="24"/>
        <v>0</v>
      </c>
      <c r="AA105" s="491">
        <f t="shared" si="24"/>
        <v>0</v>
      </c>
      <c r="AB105" s="491">
        <f t="shared" si="24"/>
        <v>0</v>
      </c>
      <c r="AC105" s="492">
        <f t="shared" si="23"/>
        <v>0</v>
      </c>
    </row>
    <row r="106" spans="1:29" x14ac:dyDescent="0.25">
      <c r="A106" s="493" t="str">
        <f t="shared" si="25"/>
        <v>Don't</v>
      </c>
      <c r="B106" s="461" t="str">
        <f>B105</f>
        <v>USA</v>
      </c>
      <c r="D106" t="str">
        <f t="shared" ref="D106:D109" si="27">D105</f>
        <v>IMP SLS</v>
      </c>
      <c r="E106" s="462" t="str">
        <f t="shared" si="26"/>
        <v>BMP 3</v>
      </c>
      <c r="F106" s="489">
        <f>'Imp-US'!E$179</f>
        <v>0</v>
      </c>
      <c r="G106" s="430">
        <f>'Imp-US'!F$179</f>
        <v>0</v>
      </c>
      <c r="H106" s="430">
        <f>'Imp-US'!G$179</f>
        <v>0</v>
      </c>
      <c r="I106" s="430">
        <f>'Imp-US'!H$179</f>
        <v>0</v>
      </c>
      <c r="J106" s="430">
        <f>'Imp-US'!I$179</f>
        <v>0</v>
      </c>
      <c r="K106" s="430">
        <f>'Imp-US'!J$179</f>
        <v>0</v>
      </c>
      <c r="L106" s="430">
        <f>'Imp-US'!K$179</f>
        <v>0</v>
      </c>
      <c r="M106" s="430">
        <f>'Imp-US'!L$179</f>
        <v>0</v>
      </c>
      <c r="N106" s="489">
        <f>'Imp-US'!E$180/1000</f>
        <v>0</v>
      </c>
      <c r="O106" s="430">
        <f>'Imp-US'!F$180/1000</f>
        <v>0</v>
      </c>
      <c r="P106" s="430">
        <f>'Imp-US'!G$180/1000</f>
        <v>0</v>
      </c>
      <c r="Q106" s="430">
        <f>'Imp-US'!H$180/1000</f>
        <v>0</v>
      </c>
      <c r="R106" s="430">
        <f>'Imp-US'!I$180/1000</f>
        <v>0</v>
      </c>
      <c r="S106" s="430">
        <f>'Imp-US'!J$180/1000</f>
        <v>0</v>
      </c>
      <c r="T106" s="430">
        <f>'Imp-US'!K$180/1000</f>
        <v>0</v>
      </c>
      <c r="U106" s="430">
        <f>'Imp-US'!L$180/1000</f>
        <v>0</v>
      </c>
      <c r="V106" s="490">
        <f t="shared" si="24"/>
        <v>0</v>
      </c>
      <c r="W106" s="491">
        <f t="shared" si="24"/>
        <v>0</v>
      </c>
      <c r="X106" s="491">
        <f t="shared" si="24"/>
        <v>0</v>
      </c>
      <c r="Y106" s="491">
        <f t="shared" si="24"/>
        <v>0</v>
      </c>
      <c r="Z106" s="491">
        <f t="shared" si="24"/>
        <v>0</v>
      </c>
      <c r="AA106" s="491">
        <f t="shared" si="24"/>
        <v>0</v>
      </c>
      <c r="AB106" s="491">
        <f t="shared" si="24"/>
        <v>0</v>
      </c>
      <c r="AC106" s="492">
        <f t="shared" si="23"/>
        <v>0</v>
      </c>
    </row>
    <row r="107" spans="1:29" x14ac:dyDescent="0.25">
      <c r="A107" s="493" t="str">
        <f t="shared" si="25"/>
        <v>Don't</v>
      </c>
      <c r="B107" s="461" t="str">
        <f>B106</f>
        <v>USA</v>
      </c>
      <c r="D107" t="str">
        <f t="shared" si="27"/>
        <v>IMP SLS</v>
      </c>
      <c r="E107" s="462" t="str">
        <f t="shared" si="26"/>
        <v>BMP 4</v>
      </c>
      <c r="F107" s="489">
        <f>'Imp-US'!E$184</f>
        <v>0</v>
      </c>
      <c r="G107" s="430">
        <f>'Imp-US'!F$184</f>
        <v>0</v>
      </c>
      <c r="H107" s="430">
        <f>'Imp-US'!G$184</f>
        <v>0</v>
      </c>
      <c r="I107" s="430">
        <f>'Imp-US'!H$184</f>
        <v>0</v>
      </c>
      <c r="J107" s="430">
        <f>'Imp-US'!I$184</f>
        <v>0</v>
      </c>
      <c r="K107" s="430">
        <f>'Imp-US'!J$184</f>
        <v>0</v>
      </c>
      <c r="L107" s="430">
        <f>'Imp-US'!K$184</f>
        <v>0</v>
      </c>
      <c r="M107" s="430">
        <f>'Imp-US'!L$184</f>
        <v>0</v>
      </c>
      <c r="N107" s="489">
        <f>'Imp-US'!E$185/1000</f>
        <v>0</v>
      </c>
      <c r="O107" s="430">
        <f>'Imp-US'!F$185/1000</f>
        <v>0</v>
      </c>
      <c r="P107" s="430">
        <f>'Imp-US'!G$185/1000</f>
        <v>0</v>
      </c>
      <c r="Q107" s="430">
        <f>'Imp-US'!H$185/1000</f>
        <v>0</v>
      </c>
      <c r="R107" s="430">
        <f>'Imp-US'!I$185/1000</f>
        <v>0</v>
      </c>
      <c r="S107" s="430">
        <f>'Imp-US'!J$185/1000</f>
        <v>0</v>
      </c>
      <c r="T107" s="430">
        <f>'Imp-US'!K$185/1000</f>
        <v>0</v>
      </c>
      <c r="U107" s="430">
        <f>'Imp-US'!L$185/1000</f>
        <v>0</v>
      </c>
      <c r="V107" s="490">
        <f t="shared" si="24"/>
        <v>0</v>
      </c>
      <c r="W107" s="491">
        <f t="shared" si="24"/>
        <v>0</v>
      </c>
      <c r="X107" s="491">
        <f t="shared" si="24"/>
        <v>0</v>
      </c>
      <c r="Y107" s="491">
        <f t="shared" si="24"/>
        <v>0</v>
      </c>
      <c r="Z107" s="491">
        <f t="shared" si="24"/>
        <v>0</v>
      </c>
      <c r="AA107" s="491">
        <f t="shared" si="24"/>
        <v>0</v>
      </c>
      <c r="AB107" s="491">
        <f t="shared" si="24"/>
        <v>0</v>
      </c>
      <c r="AC107" s="492">
        <f t="shared" si="23"/>
        <v>0</v>
      </c>
    </row>
    <row r="108" spans="1:29" x14ac:dyDescent="0.25">
      <c r="A108" s="493" t="str">
        <f t="shared" si="25"/>
        <v>Don't</v>
      </c>
      <c r="B108" s="461" t="str">
        <f>B107</f>
        <v>USA</v>
      </c>
      <c r="D108" t="str">
        <f t="shared" si="27"/>
        <v>IMP SLS</v>
      </c>
      <c r="E108" s="462" t="str">
        <f t="shared" si="26"/>
        <v>BMP 5</v>
      </c>
      <c r="F108" s="489">
        <f>'Imp-US'!E$189</f>
        <v>0</v>
      </c>
      <c r="G108" s="430">
        <f>'Imp-US'!F$189</f>
        <v>0</v>
      </c>
      <c r="H108" s="430">
        <f>'Imp-US'!G$189</f>
        <v>0</v>
      </c>
      <c r="I108" s="430">
        <f>'Imp-US'!H$189</f>
        <v>0</v>
      </c>
      <c r="J108" s="430">
        <f>'Imp-US'!I$189</f>
        <v>0</v>
      </c>
      <c r="K108" s="430">
        <f>'Imp-US'!J$189</f>
        <v>0</v>
      </c>
      <c r="L108" s="430">
        <f>'Imp-US'!K$189</f>
        <v>0</v>
      </c>
      <c r="M108" s="430">
        <f>'Imp-US'!L$189</f>
        <v>0</v>
      </c>
      <c r="N108" s="489">
        <f>'Imp-US'!E$190/1000</f>
        <v>0</v>
      </c>
      <c r="O108" s="430">
        <f>'Imp-US'!F$190/1000</f>
        <v>0</v>
      </c>
      <c r="P108" s="430">
        <f>'Imp-US'!G$190/1000</f>
        <v>0</v>
      </c>
      <c r="Q108" s="430">
        <f>'Imp-US'!H$190/1000</f>
        <v>0</v>
      </c>
      <c r="R108" s="430">
        <f>'Imp-US'!I$190/1000</f>
        <v>0</v>
      </c>
      <c r="S108" s="430">
        <f>'Imp-US'!J$190/1000</f>
        <v>0</v>
      </c>
      <c r="T108" s="430">
        <f>'Imp-US'!K$190/1000</f>
        <v>0</v>
      </c>
      <c r="U108" s="430">
        <f>'Imp-US'!L$190/1000</f>
        <v>0</v>
      </c>
      <c r="V108" s="490">
        <f t="shared" si="24"/>
        <v>0</v>
      </c>
      <c r="W108" s="491">
        <f t="shared" si="24"/>
        <v>0</v>
      </c>
      <c r="X108" s="491">
        <f t="shared" si="24"/>
        <v>0</v>
      </c>
      <c r="Y108" s="491">
        <f t="shared" si="24"/>
        <v>0</v>
      </c>
      <c r="Z108" s="491">
        <f t="shared" si="24"/>
        <v>0</v>
      </c>
      <c r="AA108" s="491">
        <f t="shared" si="24"/>
        <v>0</v>
      </c>
      <c r="AB108" s="491">
        <f t="shared" si="24"/>
        <v>0</v>
      </c>
      <c r="AC108" s="492">
        <f t="shared" si="23"/>
        <v>0</v>
      </c>
    </row>
    <row r="109" spans="1:29" x14ac:dyDescent="0.25">
      <c r="A109" s="493" t="str">
        <f t="shared" si="25"/>
        <v>Don't</v>
      </c>
      <c r="B109" s="461" t="str">
        <f>B108</f>
        <v>USA</v>
      </c>
      <c r="D109" t="str">
        <f t="shared" si="27"/>
        <v>IMP SLS</v>
      </c>
      <c r="E109" s="462" t="str">
        <f t="shared" si="26"/>
        <v>BMP 6</v>
      </c>
      <c r="F109" s="489">
        <f>'Imp-US'!E$194</f>
        <v>0</v>
      </c>
      <c r="G109" s="430">
        <f>'Imp-US'!F$194</f>
        <v>0</v>
      </c>
      <c r="H109" s="430">
        <f>'Imp-US'!G$194</f>
        <v>0</v>
      </c>
      <c r="I109" s="430">
        <f>'Imp-US'!H$194</f>
        <v>0</v>
      </c>
      <c r="J109" s="430">
        <f>'Imp-US'!I$194</f>
        <v>0</v>
      </c>
      <c r="K109" s="430">
        <f>'Imp-US'!J$194</f>
        <v>0</v>
      </c>
      <c r="L109" s="430">
        <f>'Imp-US'!K$194</f>
        <v>0</v>
      </c>
      <c r="M109" s="430">
        <f>'Imp-US'!L$194</f>
        <v>0</v>
      </c>
      <c r="N109" s="489">
        <f>'Imp-US'!E$195/1000</f>
        <v>0</v>
      </c>
      <c r="O109" s="430">
        <f>'Imp-US'!F$195/1000</f>
        <v>0</v>
      </c>
      <c r="P109" s="430">
        <f>'Imp-US'!G$195/1000</f>
        <v>0</v>
      </c>
      <c r="Q109" s="430">
        <f>'Imp-US'!H$195/1000</f>
        <v>0</v>
      </c>
      <c r="R109" s="430">
        <f>'Imp-US'!I$195/1000</f>
        <v>0</v>
      </c>
      <c r="S109" s="430">
        <f>'Imp-US'!J$195/1000</f>
        <v>0</v>
      </c>
      <c r="T109" s="430">
        <f>'Imp-US'!K$195/1000</f>
        <v>0</v>
      </c>
      <c r="U109" s="430">
        <f>'Imp-US'!L$195/1000</f>
        <v>0</v>
      </c>
      <c r="V109" s="490">
        <f t="shared" si="24"/>
        <v>0</v>
      </c>
      <c r="W109" s="491">
        <f t="shared" si="24"/>
        <v>0</v>
      </c>
      <c r="X109" s="491">
        <f t="shared" si="24"/>
        <v>0</v>
      </c>
      <c r="Y109" s="491">
        <f t="shared" si="24"/>
        <v>0</v>
      </c>
      <c r="Z109" s="491">
        <f t="shared" si="24"/>
        <v>0</v>
      </c>
      <c r="AA109" s="491">
        <f t="shared" si="24"/>
        <v>0</v>
      </c>
      <c r="AB109" s="491">
        <f t="shared" si="24"/>
        <v>0</v>
      </c>
      <c r="AC109" s="492">
        <f t="shared" si="23"/>
        <v>0</v>
      </c>
    </row>
    <row r="110" spans="1:29" x14ac:dyDescent="0.25">
      <c r="A110" s="493" t="str">
        <f t="shared" si="25"/>
        <v>Don't</v>
      </c>
      <c r="B110" s="461" t="str">
        <f t="shared" si="25"/>
        <v>USA</v>
      </c>
      <c r="D110" t="str">
        <f t="shared" si="25"/>
        <v>IMP SLS</v>
      </c>
      <c r="E110" s="462" t="str">
        <f t="shared" ref="E110:E113" si="28">E100</f>
        <v>BMP 7</v>
      </c>
      <c r="F110" s="489">
        <f>'Imp-US'!E$199</f>
        <v>0</v>
      </c>
      <c r="G110" s="430">
        <f>'Imp-US'!F$199</f>
        <v>0</v>
      </c>
      <c r="H110" s="430">
        <f>'Imp-US'!G$199</f>
        <v>0</v>
      </c>
      <c r="I110" s="430">
        <f>'Imp-US'!H$199</f>
        <v>0</v>
      </c>
      <c r="J110" s="430">
        <f>'Imp-US'!I$199</f>
        <v>0</v>
      </c>
      <c r="K110" s="430">
        <f>'Imp-US'!J$199</f>
        <v>0</v>
      </c>
      <c r="L110" s="430">
        <f>'Imp-US'!K$199</f>
        <v>0</v>
      </c>
      <c r="M110" s="430">
        <f>'Imp-US'!L$199</f>
        <v>0</v>
      </c>
      <c r="N110" s="489">
        <f>'Imp-US'!E$200/1000</f>
        <v>0</v>
      </c>
      <c r="O110" s="430">
        <f>'Imp-US'!F$200/1000</f>
        <v>0</v>
      </c>
      <c r="P110" s="430">
        <f>'Imp-US'!G$200/1000</f>
        <v>0</v>
      </c>
      <c r="Q110" s="430">
        <f>'Imp-US'!H$200/1000</f>
        <v>0</v>
      </c>
      <c r="R110" s="430">
        <f>'Imp-US'!I$200/1000</f>
        <v>0</v>
      </c>
      <c r="S110" s="430">
        <f>'Imp-US'!J$200/1000</f>
        <v>0</v>
      </c>
      <c r="T110" s="430">
        <f>'Imp-US'!K$200/1000</f>
        <v>0</v>
      </c>
      <c r="U110" s="430">
        <f>'Imp-US'!L$200/1000</f>
        <v>0</v>
      </c>
      <c r="V110" s="490">
        <f t="shared" si="24"/>
        <v>0</v>
      </c>
      <c r="W110" s="491">
        <f t="shared" si="24"/>
        <v>0</v>
      </c>
      <c r="X110" s="491">
        <f t="shared" si="24"/>
        <v>0</v>
      </c>
      <c r="Y110" s="491">
        <f t="shared" si="24"/>
        <v>0</v>
      </c>
      <c r="Z110" s="491">
        <f t="shared" si="24"/>
        <v>0</v>
      </c>
      <c r="AA110" s="491">
        <f t="shared" si="24"/>
        <v>0</v>
      </c>
      <c r="AB110" s="491">
        <f t="shared" si="24"/>
        <v>0</v>
      </c>
      <c r="AC110" s="492">
        <f t="shared" si="23"/>
        <v>0</v>
      </c>
    </row>
    <row r="111" spans="1:29" x14ac:dyDescent="0.25">
      <c r="A111" s="493" t="str">
        <f t="shared" si="25"/>
        <v>Don't</v>
      </c>
      <c r="B111" s="461" t="str">
        <f t="shared" si="25"/>
        <v>USA</v>
      </c>
      <c r="D111" t="str">
        <f t="shared" si="25"/>
        <v>IMP SLS</v>
      </c>
      <c r="E111" s="462" t="str">
        <f t="shared" si="28"/>
        <v>BMP 8</v>
      </c>
      <c r="F111" s="489">
        <f>'Imp-US'!E$204</f>
        <v>0</v>
      </c>
      <c r="G111" s="430">
        <f>'Imp-US'!F$204</f>
        <v>0</v>
      </c>
      <c r="H111" s="430">
        <f>'Imp-US'!G$204</f>
        <v>0</v>
      </c>
      <c r="I111" s="430">
        <f>'Imp-US'!H$204</f>
        <v>0</v>
      </c>
      <c r="J111" s="430">
        <f>'Imp-US'!I$204</f>
        <v>0</v>
      </c>
      <c r="K111" s="430">
        <f>'Imp-US'!J$204</f>
        <v>0</v>
      </c>
      <c r="L111" s="430">
        <f>'Imp-US'!K$204</f>
        <v>0</v>
      </c>
      <c r="M111" s="430">
        <f>'Imp-US'!L$204</f>
        <v>0</v>
      </c>
      <c r="N111" s="489">
        <f>'Imp-US'!E$205/1000</f>
        <v>0</v>
      </c>
      <c r="O111" s="430">
        <f>'Imp-US'!F$205/1000</f>
        <v>0</v>
      </c>
      <c r="P111" s="430">
        <f>'Imp-US'!G$205/1000</f>
        <v>0</v>
      </c>
      <c r="Q111" s="430">
        <f>'Imp-US'!H$205/1000</f>
        <v>0</v>
      </c>
      <c r="R111" s="430">
        <f>'Imp-US'!I$205/1000</f>
        <v>0</v>
      </c>
      <c r="S111" s="430">
        <f>'Imp-US'!J$205/1000</f>
        <v>0</v>
      </c>
      <c r="T111" s="430">
        <f>'Imp-US'!K$205/1000</f>
        <v>0</v>
      </c>
      <c r="U111" s="430">
        <f>'Imp-US'!L$205/1000</f>
        <v>0</v>
      </c>
      <c r="V111" s="490">
        <f t="shared" si="24"/>
        <v>0</v>
      </c>
      <c r="W111" s="491">
        <f t="shared" si="24"/>
        <v>0</v>
      </c>
      <c r="X111" s="491">
        <f t="shared" si="24"/>
        <v>0</v>
      </c>
      <c r="Y111" s="491">
        <f t="shared" si="24"/>
        <v>0</v>
      </c>
      <c r="Z111" s="491">
        <f t="shared" si="24"/>
        <v>0</v>
      </c>
      <c r="AA111" s="491">
        <f t="shared" si="24"/>
        <v>0</v>
      </c>
      <c r="AB111" s="491">
        <f t="shared" si="24"/>
        <v>0</v>
      </c>
      <c r="AC111" s="492">
        <f t="shared" si="23"/>
        <v>0</v>
      </c>
    </row>
    <row r="112" spans="1:29" x14ac:dyDescent="0.25">
      <c r="A112" s="493" t="str">
        <f t="shared" si="25"/>
        <v>Don't</v>
      </c>
      <c r="B112" s="461" t="str">
        <f t="shared" si="25"/>
        <v>USA</v>
      </c>
      <c r="D112" t="str">
        <f t="shared" si="25"/>
        <v>IMP SLS</v>
      </c>
      <c r="E112" s="462" t="str">
        <f t="shared" si="28"/>
        <v>BMP 9</v>
      </c>
      <c r="F112" s="489">
        <f>'Imp-US'!E$209</f>
        <v>0</v>
      </c>
      <c r="G112" s="430">
        <f>'Imp-US'!F$209</f>
        <v>0</v>
      </c>
      <c r="H112" s="430">
        <f>'Imp-US'!G$209</f>
        <v>0</v>
      </c>
      <c r="I112" s="430">
        <f>'Imp-US'!H$209</f>
        <v>0</v>
      </c>
      <c r="J112" s="430">
        <f>'Imp-US'!I$209</f>
        <v>0</v>
      </c>
      <c r="K112" s="430">
        <f>'Imp-US'!J$209</f>
        <v>0</v>
      </c>
      <c r="L112" s="430">
        <f>'Imp-US'!K$209</f>
        <v>0</v>
      </c>
      <c r="M112" s="430">
        <f>'Imp-US'!L$209</f>
        <v>0</v>
      </c>
      <c r="N112" s="489">
        <f>'Imp-US'!E$210/1000</f>
        <v>0</v>
      </c>
      <c r="O112" s="430">
        <f>'Imp-US'!F$210/1000</f>
        <v>0</v>
      </c>
      <c r="P112" s="430">
        <f>'Imp-US'!G$210/1000</f>
        <v>0</v>
      </c>
      <c r="Q112" s="430">
        <f>'Imp-US'!H$210/1000</f>
        <v>0</v>
      </c>
      <c r="R112" s="430">
        <f>'Imp-US'!I$210/1000</f>
        <v>0</v>
      </c>
      <c r="S112" s="430">
        <f>'Imp-US'!J$210/1000</f>
        <v>0</v>
      </c>
      <c r="T112" s="430">
        <f>'Imp-US'!K$210/1000</f>
        <v>0</v>
      </c>
      <c r="U112" s="430">
        <f>'Imp-US'!L$210/1000</f>
        <v>0</v>
      </c>
      <c r="V112" s="490">
        <f t="shared" si="24"/>
        <v>0</v>
      </c>
      <c r="W112" s="491">
        <f t="shared" si="24"/>
        <v>0</v>
      </c>
      <c r="X112" s="491">
        <f t="shared" si="24"/>
        <v>0</v>
      </c>
      <c r="Y112" s="491">
        <f t="shared" si="24"/>
        <v>0</v>
      </c>
      <c r="Z112" s="491">
        <f t="shared" si="24"/>
        <v>0</v>
      </c>
      <c r="AA112" s="491">
        <f t="shared" si="24"/>
        <v>0</v>
      </c>
      <c r="AB112" s="491">
        <f t="shared" si="24"/>
        <v>0</v>
      </c>
      <c r="AC112" s="492">
        <f t="shared" si="23"/>
        <v>0</v>
      </c>
    </row>
    <row r="113" spans="1:29" x14ac:dyDescent="0.25">
      <c r="A113" s="493" t="str">
        <f t="shared" si="25"/>
        <v>Don't</v>
      </c>
      <c r="B113" s="461" t="str">
        <f t="shared" si="25"/>
        <v>USA</v>
      </c>
      <c r="D113" t="str">
        <f t="shared" si="25"/>
        <v>IMP SLS</v>
      </c>
      <c r="E113" s="462" t="str">
        <f t="shared" si="28"/>
        <v>BMP 10</v>
      </c>
      <c r="F113" s="489">
        <f>'Imp-US'!E$214</f>
        <v>0</v>
      </c>
      <c r="G113" s="430">
        <f>'Imp-US'!F$214</f>
        <v>0</v>
      </c>
      <c r="H113" s="430">
        <f>'Imp-US'!G$214</f>
        <v>0</v>
      </c>
      <c r="I113" s="430">
        <f>'Imp-US'!H$214</f>
        <v>0</v>
      </c>
      <c r="J113" s="430">
        <f>'Imp-US'!I$214</f>
        <v>0</v>
      </c>
      <c r="K113" s="430">
        <f>'Imp-US'!J$214</f>
        <v>0</v>
      </c>
      <c r="L113" s="430">
        <f>'Imp-US'!K$214</f>
        <v>0</v>
      </c>
      <c r="M113" s="430">
        <f>'Imp-US'!L$214</f>
        <v>0</v>
      </c>
      <c r="N113" s="489">
        <f>'Imp-US'!E$215/1000</f>
        <v>0</v>
      </c>
      <c r="O113" s="430">
        <f>'Imp-US'!F$215/1000</f>
        <v>0</v>
      </c>
      <c r="P113" s="430">
        <f>'Imp-US'!G$215/1000</f>
        <v>0</v>
      </c>
      <c r="Q113" s="430">
        <f>'Imp-US'!H$215/1000</f>
        <v>0</v>
      </c>
      <c r="R113" s="430">
        <f>'Imp-US'!I$215/1000</f>
        <v>0</v>
      </c>
      <c r="S113" s="430">
        <f>'Imp-US'!J$215/1000</f>
        <v>0</v>
      </c>
      <c r="T113" s="430">
        <f>'Imp-US'!K$215/1000</f>
        <v>0</v>
      </c>
      <c r="U113" s="430">
        <f>'Imp-US'!L$215/1000</f>
        <v>0</v>
      </c>
      <c r="V113" s="490">
        <f t="shared" si="24"/>
        <v>0</v>
      </c>
      <c r="W113" s="491">
        <f t="shared" si="24"/>
        <v>0</v>
      </c>
      <c r="X113" s="491">
        <f t="shared" si="24"/>
        <v>0</v>
      </c>
      <c r="Y113" s="491">
        <f t="shared" si="24"/>
        <v>0</v>
      </c>
      <c r="Z113" s="491">
        <f t="shared" si="24"/>
        <v>0</v>
      </c>
      <c r="AA113" s="491">
        <f t="shared" si="24"/>
        <v>0</v>
      </c>
      <c r="AB113" s="491">
        <f t="shared" si="24"/>
        <v>0</v>
      </c>
      <c r="AC113" s="492">
        <f t="shared" si="23"/>
        <v>0</v>
      </c>
    </row>
    <row r="114" spans="1:29" x14ac:dyDescent="0.25">
      <c r="A114" s="493" t="str">
        <f>IF(SUM(F114:U134)&gt;=0.01,"Copy","Don't")</f>
        <v>Don't</v>
      </c>
      <c r="B114" s="494" t="s">
        <v>557</v>
      </c>
      <c r="C114" s="495"/>
      <c r="D114" s="495" t="s">
        <v>607</v>
      </c>
      <c r="E114" s="496" t="s">
        <v>608</v>
      </c>
      <c r="F114" s="489">
        <f>'Imp-Other -Autre'!E$98</f>
        <v>0</v>
      </c>
      <c r="G114" s="430">
        <f>'Imp-Other -Autre'!F$98</f>
        <v>0</v>
      </c>
      <c r="H114" s="430">
        <f>'Imp-Other -Autre'!G$98</f>
        <v>0</v>
      </c>
      <c r="I114" s="430">
        <f>'Imp-Other -Autre'!H$98</f>
        <v>0</v>
      </c>
      <c r="J114" s="430">
        <f>'Imp-Other -Autre'!I$98</f>
        <v>0</v>
      </c>
      <c r="K114" s="430">
        <f>'Imp-Other -Autre'!J$98</f>
        <v>0</v>
      </c>
      <c r="L114" s="430">
        <f>'Imp-Other -Autre'!K$98</f>
        <v>0</v>
      </c>
      <c r="M114" s="430">
        <f>'Imp-Other -Autre'!L$98</f>
        <v>0</v>
      </c>
      <c r="N114" s="489">
        <f>'Imp-Other -Autre'!E$99/1000</f>
        <v>0</v>
      </c>
      <c r="O114" s="430">
        <f>'Imp-Other -Autre'!F$99/1000</f>
        <v>0</v>
      </c>
      <c r="P114" s="430">
        <f>'Imp-Other -Autre'!G$99/1000</f>
        <v>0</v>
      </c>
      <c r="Q114" s="430">
        <f>'Imp-Other -Autre'!H$99/1000</f>
        <v>0</v>
      </c>
      <c r="R114" s="430">
        <f>'Imp-Other -Autre'!I$99/1000</f>
        <v>0</v>
      </c>
      <c r="S114" s="430">
        <f>'Imp-Other -Autre'!J$99/1000</f>
        <v>0</v>
      </c>
      <c r="T114" s="430">
        <f>'Imp-Other -Autre'!K$99/1000</f>
        <v>0</v>
      </c>
      <c r="U114" s="430">
        <f>'Imp-Other -Autre'!L$99/1000</f>
        <v>0</v>
      </c>
      <c r="V114" s="490">
        <f t="shared" si="24"/>
        <v>0</v>
      </c>
      <c r="W114" s="491">
        <f t="shared" si="24"/>
        <v>0</v>
      </c>
      <c r="X114" s="491">
        <f t="shared" si="24"/>
        <v>0</v>
      </c>
      <c r="Y114" s="491">
        <f t="shared" si="24"/>
        <v>0</v>
      </c>
      <c r="Z114" s="491">
        <f t="shared" si="24"/>
        <v>0</v>
      </c>
      <c r="AA114" s="491">
        <f t="shared" si="24"/>
        <v>0</v>
      </c>
      <c r="AB114" s="491">
        <f t="shared" si="24"/>
        <v>0</v>
      </c>
      <c r="AC114" s="492">
        <f t="shared" si="23"/>
        <v>0</v>
      </c>
    </row>
    <row r="115" spans="1:29" x14ac:dyDescent="0.25">
      <c r="A115" s="493" t="str">
        <f>A114</f>
        <v>Don't</v>
      </c>
      <c r="B115" s="461" t="str">
        <f>B114</f>
        <v>Other Countries</v>
      </c>
      <c r="D115" t="str">
        <f t="shared" ref="D115:D123" si="29">D114</f>
        <v>IMP</v>
      </c>
      <c r="E115" s="462" t="s">
        <v>609</v>
      </c>
      <c r="F115" s="489">
        <f>'Imp-Other -Autre'!E$103</f>
        <v>0</v>
      </c>
      <c r="G115" s="430">
        <f>'Imp-Other -Autre'!F$103</f>
        <v>0</v>
      </c>
      <c r="H115" s="430">
        <f>'Imp-Other -Autre'!G$103</f>
        <v>0</v>
      </c>
      <c r="I115" s="430">
        <f>'Imp-Other -Autre'!H$103</f>
        <v>0</v>
      </c>
      <c r="J115" s="430">
        <f>'Imp-Other -Autre'!I$103</f>
        <v>0</v>
      </c>
      <c r="K115" s="430">
        <f>'Imp-Other -Autre'!J$103</f>
        <v>0</v>
      </c>
      <c r="L115" s="430">
        <f>'Imp-Other -Autre'!K$103</f>
        <v>0</v>
      </c>
      <c r="M115" s="430">
        <f>'Imp-Other -Autre'!L$103</f>
        <v>0</v>
      </c>
      <c r="N115" s="489">
        <f>'Imp-Other -Autre'!E$104/1000</f>
        <v>0</v>
      </c>
      <c r="O115" s="430">
        <f>'Imp-Other -Autre'!F$104/1000</f>
        <v>0</v>
      </c>
      <c r="P115" s="430">
        <f>'Imp-Other -Autre'!G$104/1000</f>
        <v>0</v>
      </c>
      <c r="Q115" s="430">
        <f>'Imp-Other -Autre'!H$104/1000</f>
        <v>0</v>
      </c>
      <c r="R115" s="430">
        <f>'Imp-Other -Autre'!I$104/1000</f>
        <v>0</v>
      </c>
      <c r="S115" s="430">
        <f>'Imp-Other -Autre'!J$104/1000</f>
        <v>0</v>
      </c>
      <c r="T115" s="430">
        <f>'Imp-Other -Autre'!K$104/1000</f>
        <v>0</v>
      </c>
      <c r="U115" s="430">
        <f>'Imp-Other -Autre'!L$104/1000</f>
        <v>0</v>
      </c>
      <c r="V115" s="490">
        <f t="shared" si="24"/>
        <v>0</v>
      </c>
      <c r="W115" s="491">
        <f t="shared" si="24"/>
        <v>0</v>
      </c>
      <c r="X115" s="491">
        <f t="shared" si="24"/>
        <v>0</v>
      </c>
      <c r="Y115" s="491">
        <f t="shared" si="24"/>
        <v>0</v>
      </c>
      <c r="Z115" s="491">
        <f t="shared" si="24"/>
        <v>0</v>
      </c>
      <c r="AA115" s="491">
        <f t="shared" si="24"/>
        <v>0</v>
      </c>
      <c r="AB115" s="491">
        <f t="shared" si="24"/>
        <v>0</v>
      </c>
      <c r="AC115" s="492">
        <f t="shared" si="23"/>
        <v>0</v>
      </c>
    </row>
    <row r="116" spans="1:29" x14ac:dyDescent="0.25">
      <c r="A116" s="493" t="str">
        <f t="shared" ref="A116:B133" si="30">A115</f>
        <v>Don't</v>
      </c>
      <c r="B116" s="461" t="str">
        <f>B115</f>
        <v>Other Countries</v>
      </c>
      <c r="D116" t="str">
        <f t="shared" si="29"/>
        <v>IMP</v>
      </c>
      <c r="E116" s="462" t="s">
        <v>610</v>
      </c>
      <c r="F116" s="489">
        <f>'Imp-Other -Autre'!E$108</f>
        <v>0</v>
      </c>
      <c r="G116" s="430">
        <f>'Imp-Other -Autre'!F$108</f>
        <v>0</v>
      </c>
      <c r="H116" s="430">
        <f>'Imp-Other -Autre'!G$108</f>
        <v>0</v>
      </c>
      <c r="I116" s="430">
        <f>'Imp-Other -Autre'!H$108</f>
        <v>0</v>
      </c>
      <c r="J116" s="430">
        <f>'Imp-Other -Autre'!I$108</f>
        <v>0</v>
      </c>
      <c r="K116" s="430">
        <f>'Imp-Other -Autre'!J$108</f>
        <v>0</v>
      </c>
      <c r="L116" s="430">
        <f>'Imp-Other -Autre'!K$108</f>
        <v>0</v>
      </c>
      <c r="M116" s="430">
        <f>'Imp-Other -Autre'!L$108</f>
        <v>0</v>
      </c>
      <c r="N116" s="489">
        <f>'Imp-Other -Autre'!E$109/1000</f>
        <v>0</v>
      </c>
      <c r="O116" s="430">
        <f>'Imp-Other -Autre'!F$109/1000</f>
        <v>0</v>
      </c>
      <c r="P116" s="430">
        <f>'Imp-Other -Autre'!G$109/1000</f>
        <v>0</v>
      </c>
      <c r="Q116" s="430">
        <f>'Imp-Other -Autre'!H$109/1000</f>
        <v>0</v>
      </c>
      <c r="R116" s="430">
        <f>'Imp-Other -Autre'!I$109/1000</f>
        <v>0</v>
      </c>
      <c r="S116" s="430">
        <f>'Imp-Other -Autre'!J$109/1000</f>
        <v>0</v>
      </c>
      <c r="T116" s="430">
        <f>'Imp-Other -Autre'!K$109/1000</f>
        <v>0</v>
      </c>
      <c r="U116" s="430">
        <f>'Imp-Other -Autre'!L$109/1000</f>
        <v>0</v>
      </c>
      <c r="V116" s="490">
        <f t="shared" si="24"/>
        <v>0</v>
      </c>
      <c r="W116" s="491">
        <f t="shared" si="24"/>
        <v>0</v>
      </c>
      <c r="X116" s="491">
        <f t="shared" si="24"/>
        <v>0</v>
      </c>
      <c r="Y116" s="491">
        <f t="shared" si="24"/>
        <v>0</v>
      </c>
      <c r="Z116" s="491">
        <f t="shared" si="24"/>
        <v>0</v>
      </c>
      <c r="AA116" s="491">
        <f t="shared" si="24"/>
        <v>0</v>
      </c>
      <c r="AB116" s="491">
        <f t="shared" si="24"/>
        <v>0</v>
      </c>
      <c r="AC116" s="492">
        <f t="shared" si="23"/>
        <v>0</v>
      </c>
    </row>
    <row r="117" spans="1:29" x14ac:dyDescent="0.25">
      <c r="A117" s="493" t="str">
        <f t="shared" si="30"/>
        <v>Don't</v>
      </c>
      <c r="B117" s="461" t="str">
        <f>B116</f>
        <v>Other Countries</v>
      </c>
      <c r="D117" t="str">
        <f t="shared" si="29"/>
        <v>IMP</v>
      </c>
      <c r="E117" s="462" t="s">
        <v>611</v>
      </c>
      <c r="F117" s="489">
        <f>'Imp-Other -Autre'!E$113</f>
        <v>0</v>
      </c>
      <c r="G117" s="430">
        <f>'Imp-Other -Autre'!F$113</f>
        <v>0</v>
      </c>
      <c r="H117" s="430">
        <f>'Imp-Other -Autre'!G$113</f>
        <v>0</v>
      </c>
      <c r="I117" s="430">
        <f>'Imp-Other -Autre'!H$113</f>
        <v>0</v>
      </c>
      <c r="J117" s="430">
        <f>'Imp-Other -Autre'!I$113</f>
        <v>0</v>
      </c>
      <c r="K117" s="430">
        <f>'Imp-Other -Autre'!J$113</f>
        <v>0</v>
      </c>
      <c r="L117" s="430">
        <f>'Imp-Other -Autre'!K$113</f>
        <v>0</v>
      </c>
      <c r="M117" s="430">
        <f>'Imp-Other -Autre'!L$113</f>
        <v>0</v>
      </c>
      <c r="N117" s="489">
        <f>'Imp-Other -Autre'!E$114/1000</f>
        <v>0</v>
      </c>
      <c r="O117" s="430">
        <f>'Imp-Other -Autre'!F$114/1000</f>
        <v>0</v>
      </c>
      <c r="P117" s="430">
        <f>'Imp-Other -Autre'!G$114/1000</f>
        <v>0</v>
      </c>
      <c r="Q117" s="430">
        <f>'Imp-Other -Autre'!H$114/1000</f>
        <v>0</v>
      </c>
      <c r="R117" s="430">
        <f>'Imp-Other -Autre'!I$114/1000</f>
        <v>0</v>
      </c>
      <c r="S117" s="430">
        <f>'Imp-Other -Autre'!J$114/1000</f>
        <v>0</v>
      </c>
      <c r="T117" s="430">
        <f>'Imp-Other -Autre'!K$114/1000</f>
        <v>0</v>
      </c>
      <c r="U117" s="430">
        <f>'Imp-Other -Autre'!L$114/1000</f>
        <v>0</v>
      </c>
      <c r="V117" s="490">
        <f t="shared" si="24"/>
        <v>0</v>
      </c>
      <c r="W117" s="491">
        <f t="shared" si="24"/>
        <v>0</v>
      </c>
      <c r="X117" s="491">
        <f t="shared" si="24"/>
        <v>0</v>
      </c>
      <c r="Y117" s="491">
        <f t="shared" si="24"/>
        <v>0</v>
      </c>
      <c r="Z117" s="491">
        <f t="shared" si="24"/>
        <v>0</v>
      </c>
      <c r="AA117" s="491">
        <f t="shared" si="24"/>
        <v>0</v>
      </c>
      <c r="AB117" s="491">
        <f t="shared" si="24"/>
        <v>0</v>
      </c>
      <c r="AC117" s="492">
        <f t="shared" si="23"/>
        <v>0</v>
      </c>
    </row>
    <row r="118" spans="1:29" x14ac:dyDescent="0.25">
      <c r="A118" s="493" t="str">
        <f t="shared" si="30"/>
        <v>Don't</v>
      </c>
      <c r="B118" s="461" t="str">
        <f>B117</f>
        <v>Other Countries</v>
      </c>
      <c r="D118" t="str">
        <f t="shared" si="29"/>
        <v>IMP</v>
      </c>
      <c r="E118" s="462" t="s">
        <v>612</v>
      </c>
      <c r="F118" s="489">
        <f>'Imp-Other -Autre'!E$118</f>
        <v>0</v>
      </c>
      <c r="G118" s="430">
        <f>'Imp-Other -Autre'!F$118</f>
        <v>0</v>
      </c>
      <c r="H118" s="430">
        <f>'Imp-Other -Autre'!G$118</f>
        <v>0</v>
      </c>
      <c r="I118" s="430">
        <f>'Imp-Other -Autre'!H$118</f>
        <v>0</v>
      </c>
      <c r="J118" s="430">
        <f>'Imp-Other -Autre'!I$118</f>
        <v>0</v>
      </c>
      <c r="K118" s="430">
        <f>'Imp-Other -Autre'!J$118</f>
        <v>0</v>
      </c>
      <c r="L118" s="430">
        <f>'Imp-Other -Autre'!K$118</f>
        <v>0</v>
      </c>
      <c r="M118" s="430">
        <f>'Imp-Other -Autre'!L$118</f>
        <v>0</v>
      </c>
      <c r="N118" s="489">
        <f>'Imp-Other -Autre'!E$119/1000</f>
        <v>0</v>
      </c>
      <c r="O118" s="430">
        <f>'Imp-Other -Autre'!F$119/1000</f>
        <v>0</v>
      </c>
      <c r="P118" s="430">
        <f>'Imp-Other -Autre'!G$119/1000</f>
        <v>0</v>
      </c>
      <c r="Q118" s="430">
        <f>'Imp-Other -Autre'!H$119/1000</f>
        <v>0</v>
      </c>
      <c r="R118" s="430">
        <f>'Imp-Other -Autre'!I$119/1000</f>
        <v>0</v>
      </c>
      <c r="S118" s="430">
        <f>'Imp-Other -Autre'!J$119/1000</f>
        <v>0</v>
      </c>
      <c r="T118" s="430">
        <f>'Imp-Other -Autre'!K$119/1000</f>
        <v>0</v>
      </c>
      <c r="U118" s="430">
        <f>'Imp-Other -Autre'!L$119/1000</f>
        <v>0</v>
      </c>
      <c r="V118" s="490">
        <f t="shared" si="24"/>
        <v>0</v>
      </c>
      <c r="W118" s="491">
        <f t="shared" si="24"/>
        <v>0</v>
      </c>
      <c r="X118" s="491">
        <f t="shared" si="24"/>
        <v>0</v>
      </c>
      <c r="Y118" s="491">
        <f t="shared" si="24"/>
        <v>0</v>
      </c>
      <c r="Z118" s="491">
        <f t="shared" si="24"/>
        <v>0</v>
      </c>
      <c r="AA118" s="491">
        <f t="shared" si="24"/>
        <v>0</v>
      </c>
      <c r="AB118" s="491">
        <f t="shared" si="24"/>
        <v>0</v>
      </c>
      <c r="AC118" s="492">
        <f t="shared" si="23"/>
        <v>0</v>
      </c>
    </row>
    <row r="119" spans="1:29" x14ac:dyDescent="0.25">
      <c r="A119" s="493" t="str">
        <f t="shared" si="30"/>
        <v>Don't</v>
      </c>
      <c r="B119" s="461" t="str">
        <f t="shared" si="30"/>
        <v>Other Countries</v>
      </c>
      <c r="D119" t="str">
        <f t="shared" si="29"/>
        <v>IMP</v>
      </c>
      <c r="E119" s="462" t="s">
        <v>613</v>
      </c>
      <c r="F119" s="489">
        <f>'Imp-Other -Autre'!E$123</f>
        <v>0</v>
      </c>
      <c r="G119" s="430">
        <f>'Imp-Other -Autre'!F$123</f>
        <v>0</v>
      </c>
      <c r="H119" s="430">
        <f>'Imp-Other -Autre'!G$123</f>
        <v>0</v>
      </c>
      <c r="I119" s="430">
        <f>'Imp-Other -Autre'!H$123</f>
        <v>0</v>
      </c>
      <c r="J119" s="430">
        <f>'Imp-Other -Autre'!I$123</f>
        <v>0</v>
      </c>
      <c r="K119" s="430">
        <f>'Imp-Other -Autre'!J$123</f>
        <v>0</v>
      </c>
      <c r="L119" s="430">
        <f>'Imp-Other -Autre'!K$123</f>
        <v>0</v>
      </c>
      <c r="M119" s="430">
        <f>'Imp-Other -Autre'!L$123</f>
        <v>0</v>
      </c>
      <c r="N119" s="489">
        <f>'Imp-Other -Autre'!E$124/1000</f>
        <v>0</v>
      </c>
      <c r="O119" s="430">
        <f>'Imp-Other -Autre'!F$124/1000</f>
        <v>0</v>
      </c>
      <c r="P119" s="430">
        <f>'Imp-Other -Autre'!G$124/1000</f>
        <v>0</v>
      </c>
      <c r="Q119" s="430">
        <f>'Imp-Other -Autre'!H$124/1000</f>
        <v>0</v>
      </c>
      <c r="R119" s="430">
        <f>'Imp-Other -Autre'!I$124/1000</f>
        <v>0</v>
      </c>
      <c r="S119" s="430">
        <f>'Imp-Other -Autre'!J$124/1000</f>
        <v>0</v>
      </c>
      <c r="T119" s="430">
        <f>'Imp-Other -Autre'!K$124/1000</f>
        <v>0</v>
      </c>
      <c r="U119" s="430">
        <f>'Imp-Other -Autre'!L$124/1000</f>
        <v>0</v>
      </c>
      <c r="V119" s="490">
        <f t="shared" si="24"/>
        <v>0</v>
      </c>
      <c r="W119" s="491">
        <f t="shared" si="24"/>
        <v>0</v>
      </c>
      <c r="X119" s="491">
        <f t="shared" si="24"/>
        <v>0</v>
      </c>
      <c r="Y119" s="491">
        <f t="shared" si="24"/>
        <v>0</v>
      </c>
      <c r="Z119" s="491">
        <f t="shared" si="24"/>
        <v>0</v>
      </c>
      <c r="AA119" s="491">
        <f t="shared" si="24"/>
        <v>0</v>
      </c>
      <c r="AB119" s="491">
        <f t="shared" si="24"/>
        <v>0</v>
      </c>
      <c r="AC119" s="492">
        <f t="shared" si="23"/>
        <v>0</v>
      </c>
    </row>
    <row r="120" spans="1:29" x14ac:dyDescent="0.25">
      <c r="A120" s="493" t="str">
        <f t="shared" si="30"/>
        <v>Don't</v>
      </c>
      <c r="B120" s="461" t="str">
        <f t="shared" si="30"/>
        <v>Other Countries</v>
      </c>
      <c r="D120" t="str">
        <f t="shared" si="29"/>
        <v>IMP</v>
      </c>
      <c r="E120" s="462" t="s">
        <v>614</v>
      </c>
      <c r="F120" s="489">
        <f>'Imp-Other -Autre'!E$128</f>
        <v>0</v>
      </c>
      <c r="G120" s="430">
        <f>'Imp-Other -Autre'!F$128</f>
        <v>0</v>
      </c>
      <c r="H120" s="430">
        <f>'Imp-Other -Autre'!G$128</f>
        <v>0</v>
      </c>
      <c r="I120" s="430">
        <f>'Imp-Other -Autre'!H$128</f>
        <v>0</v>
      </c>
      <c r="J120" s="430">
        <f>'Imp-Other -Autre'!I$128</f>
        <v>0</v>
      </c>
      <c r="K120" s="430">
        <f>'Imp-Other -Autre'!J$128</f>
        <v>0</v>
      </c>
      <c r="L120" s="430">
        <f>'Imp-Other -Autre'!K$128</f>
        <v>0</v>
      </c>
      <c r="M120" s="430">
        <f>'Imp-Other -Autre'!L$128</f>
        <v>0</v>
      </c>
      <c r="N120" s="489">
        <f>'Imp-Other -Autre'!E$129/1000</f>
        <v>0</v>
      </c>
      <c r="O120" s="430">
        <f>'Imp-Other -Autre'!F$129/1000</f>
        <v>0</v>
      </c>
      <c r="P120" s="430">
        <f>'Imp-Other -Autre'!G$129/1000</f>
        <v>0</v>
      </c>
      <c r="Q120" s="430">
        <f>'Imp-Other -Autre'!H$129/1000</f>
        <v>0</v>
      </c>
      <c r="R120" s="430">
        <f>'Imp-Other -Autre'!I$129/1000</f>
        <v>0</v>
      </c>
      <c r="S120" s="430">
        <f>'Imp-Other -Autre'!J$129/1000</f>
        <v>0</v>
      </c>
      <c r="T120" s="430">
        <f>'Imp-Other -Autre'!K$129/1000</f>
        <v>0</v>
      </c>
      <c r="U120" s="430">
        <f>'Imp-Other -Autre'!L$129/1000</f>
        <v>0</v>
      </c>
      <c r="V120" s="490">
        <f t="shared" si="24"/>
        <v>0</v>
      </c>
      <c r="W120" s="491">
        <f t="shared" si="24"/>
        <v>0</v>
      </c>
      <c r="X120" s="491">
        <f t="shared" si="24"/>
        <v>0</v>
      </c>
      <c r="Y120" s="491">
        <f t="shared" si="24"/>
        <v>0</v>
      </c>
      <c r="Z120" s="491">
        <f t="shared" si="24"/>
        <v>0</v>
      </c>
      <c r="AA120" s="491">
        <f t="shared" si="24"/>
        <v>0</v>
      </c>
      <c r="AB120" s="491">
        <f t="shared" si="24"/>
        <v>0</v>
      </c>
      <c r="AC120" s="492">
        <f t="shared" si="23"/>
        <v>0</v>
      </c>
    </row>
    <row r="121" spans="1:29" x14ac:dyDescent="0.25">
      <c r="A121" s="493" t="str">
        <f t="shared" si="30"/>
        <v>Don't</v>
      </c>
      <c r="B121" s="461" t="str">
        <f t="shared" si="30"/>
        <v>Other Countries</v>
      </c>
      <c r="D121" t="str">
        <f t="shared" si="29"/>
        <v>IMP</v>
      </c>
      <c r="E121" s="462" t="s">
        <v>615</v>
      </c>
      <c r="F121" s="489">
        <f>'Imp-Other -Autre'!E$133</f>
        <v>0</v>
      </c>
      <c r="G121" s="430">
        <f>'Imp-Other -Autre'!F$133</f>
        <v>0</v>
      </c>
      <c r="H121" s="430">
        <f>'Imp-Other -Autre'!G$133</f>
        <v>0</v>
      </c>
      <c r="I121" s="430">
        <f>'Imp-Other -Autre'!H$133</f>
        <v>0</v>
      </c>
      <c r="J121" s="430">
        <f>'Imp-Other -Autre'!I$133</f>
        <v>0</v>
      </c>
      <c r="K121" s="430">
        <f>'Imp-Other -Autre'!J$133</f>
        <v>0</v>
      </c>
      <c r="L121" s="430">
        <f>'Imp-Other -Autre'!K$133</f>
        <v>0</v>
      </c>
      <c r="M121" s="430">
        <f>'Imp-Other -Autre'!L$133</f>
        <v>0</v>
      </c>
      <c r="N121" s="489">
        <f>'Imp-Other -Autre'!E$134/1000</f>
        <v>0</v>
      </c>
      <c r="O121" s="430">
        <f>'Imp-Other -Autre'!F$134/1000</f>
        <v>0</v>
      </c>
      <c r="P121" s="430">
        <f>'Imp-Other -Autre'!G$134/1000</f>
        <v>0</v>
      </c>
      <c r="Q121" s="430">
        <f>'Imp-Other -Autre'!H$134/1000</f>
        <v>0</v>
      </c>
      <c r="R121" s="430">
        <f>'Imp-Other -Autre'!I$134/1000</f>
        <v>0</v>
      </c>
      <c r="S121" s="430">
        <f>'Imp-Other -Autre'!J$134/1000</f>
        <v>0</v>
      </c>
      <c r="T121" s="430">
        <f>'Imp-Other -Autre'!K$134/1000</f>
        <v>0</v>
      </c>
      <c r="U121" s="430">
        <f>'Imp-Other -Autre'!L$134/1000</f>
        <v>0</v>
      </c>
      <c r="V121" s="490">
        <f t="shared" si="24"/>
        <v>0</v>
      </c>
      <c r="W121" s="491">
        <f t="shared" si="24"/>
        <v>0</v>
      </c>
      <c r="X121" s="491">
        <f t="shared" si="24"/>
        <v>0</v>
      </c>
      <c r="Y121" s="491">
        <f t="shared" si="24"/>
        <v>0</v>
      </c>
      <c r="Z121" s="491">
        <f t="shared" si="24"/>
        <v>0</v>
      </c>
      <c r="AA121" s="491">
        <f t="shared" si="24"/>
        <v>0</v>
      </c>
      <c r="AB121" s="491">
        <f t="shared" si="24"/>
        <v>0</v>
      </c>
      <c r="AC121" s="492">
        <f t="shared" si="23"/>
        <v>0</v>
      </c>
    </row>
    <row r="122" spans="1:29" x14ac:dyDescent="0.25">
      <c r="A122" s="493" t="str">
        <f t="shared" si="30"/>
        <v>Don't</v>
      </c>
      <c r="B122" s="461" t="str">
        <f t="shared" si="30"/>
        <v>Other Countries</v>
      </c>
      <c r="D122" t="str">
        <f t="shared" si="29"/>
        <v>IMP</v>
      </c>
      <c r="E122" s="462" t="s">
        <v>616</v>
      </c>
      <c r="F122" s="489">
        <f>'Imp-Other -Autre'!E$138</f>
        <v>0</v>
      </c>
      <c r="G122" s="430">
        <f>'Imp-Other -Autre'!F$138</f>
        <v>0</v>
      </c>
      <c r="H122" s="430">
        <f>'Imp-Other -Autre'!G$138</f>
        <v>0</v>
      </c>
      <c r="I122" s="430">
        <f>'Imp-Other -Autre'!H$138</f>
        <v>0</v>
      </c>
      <c r="J122" s="430">
        <f>'Imp-Other -Autre'!I$138</f>
        <v>0</v>
      </c>
      <c r="K122" s="430">
        <f>'Imp-Other -Autre'!J$138</f>
        <v>0</v>
      </c>
      <c r="L122" s="430">
        <f>'Imp-Other -Autre'!K$138</f>
        <v>0</v>
      </c>
      <c r="M122" s="430">
        <f>'Imp-Other -Autre'!L$138</f>
        <v>0</v>
      </c>
      <c r="N122" s="489">
        <f>'Imp-Other -Autre'!E$139/1000</f>
        <v>0</v>
      </c>
      <c r="O122" s="430">
        <f>'Imp-Other -Autre'!F$139/1000</f>
        <v>0</v>
      </c>
      <c r="P122" s="430">
        <f>'Imp-Other -Autre'!G$139/1000</f>
        <v>0</v>
      </c>
      <c r="Q122" s="430">
        <f>'Imp-Other -Autre'!H$139/1000</f>
        <v>0</v>
      </c>
      <c r="R122" s="430">
        <f>'Imp-Other -Autre'!I$139/1000</f>
        <v>0</v>
      </c>
      <c r="S122" s="430">
        <f>'Imp-Other -Autre'!J$139/1000</f>
        <v>0</v>
      </c>
      <c r="T122" s="430">
        <f>'Imp-Other -Autre'!K$139/1000</f>
        <v>0</v>
      </c>
      <c r="U122" s="430">
        <f>'Imp-Other -Autre'!L$139/1000</f>
        <v>0</v>
      </c>
      <c r="V122" s="490">
        <f t="shared" si="24"/>
        <v>0</v>
      </c>
      <c r="W122" s="491">
        <f t="shared" si="24"/>
        <v>0</v>
      </c>
      <c r="X122" s="491">
        <f t="shared" si="24"/>
        <v>0</v>
      </c>
      <c r="Y122" s="491">
        <f t="shared" si="24"/>
        <v>0</v>
      </c>
      <c r="Z122" s="491">
        <f t="shared" si="24"/>
        <v>0</v>
      </c>
      <c r="AA122" s="491">
        <f t="shared" si="24"/>
        <v>0</v>
      </c>
      <c r="AB122" s="491">
        <f t="shared" si="24"/>
        <v>0</v>
      </c>
      <c r="AC122" s="492">
        <f t="shared" si="23"/>
        <v>0</v>
      </c>
    </row>
    <row r="123" spans="1:29" x14ac:dyDescent="0.25">
      <c r="A123" s="493" t="str">
        <f t="shared" si="30"/>
        <v>Don't</v>
      </c>
      <c r="B123" s="461" t="str">
        <f t="shared" si="30"/>
        <v>Other Countries</v>
      </c>
      <c r="D123" t="str">
        <f t="shared" si="29"/>
        <v>IMP</v>
      </c>
      <c r="E123" s="462" t="s">
        <v>617</v>
      </c>
      <c r="F123" s="489">
        <f>'Imp-Other -Autre'!E$143</f>
        <v>0</v>
      </c>
      <c r="G123" s="430">
        <f>'Imp-Other -Autre'!F$143</f>
        <v>0</v>
      </c>
      <c r="H123" s="430">
        <f>'Imp-Other -Autre'!G$143</f>
        <v>0</v>
      </c>
      <c r="I123" s="430">
        <f>'Imp-Other -Autre'!H$143</f>
        <v>0</v>
      </c>
      <c r="J123" s="430">
        <f>'Imp-Other -Autre'!I$143</f>
        <v>0</v>
      </c>
      <c r="K123" s="430">
        <f>'Imp-Other -Autre'!J$143</f>
        <v>0</v>
      </c>
      <c r="L123" s="430">
        <f>'Imp-Other -Autre'!K$143</f>
        <v>0</v>
      </c>
      <c r="M123" s="430">
        <f>'Imp-Other -Autre'!L$143</f>
        <v>0</v>
      </c>
      <c r="N123" s="489">
        <f>'Imp-Other -Autre'!E$144/1000</f>
        <v>0</v>
      </c>
      <c r="O123" s="430">
        <f>'Imp-Other -Autre'!F$144/1000</f>
        <v>0</v>
      </c>
      <c r="P123" s="430">
        <f>'Imp-Other -Autre'!G$144/1000</f>
        <v>0</v>
      </c>
      <c r="Q123" s="430">
        <f>'Imp-Other -Autre'!H$144/1000</f>
        <v>0</v>
      </c>
      <c r="R123" s="430">
        <f>'Imp-Other -Autre'!I$144/1000</f>
        <v>0</v>
      </c>
      <c r="S123" s="430">
        <f>'Imp-Other -Autre'!J$144/1000</f>
        <v>0</v>
      </c>
      <c r="T123" s="430">
        <f>'Imp-Other -Autre'!K$144/1000</f>
        <v>0</v>
      </c>
      <c r="U123" s="430">
        <f>'Imp-Other -Autre'!L$144/1000</f>
        <v>0</v>
      </c>
      <c r="V123" s="490">
        <f t="shared" si="24"/>
        <v>0</v>
      </c>
      <c r="W123" s="491">
        <f t="shared" si="24"/>
        <v>0</v>
      </c>
      <c r="X123" s="491">
        <f t="shared" si="24"/>
        <v>0</v>
      </c>
      <c r="Y123" s="491">
        <f t="shared" si="24"/>
        <v>0</v>
      </c>
      <c r="Z123" s="491">
        <f t="shared" si="24"/>
        <v>0</v>
      </c>
      <c r="AA123" s="491">
        <f t="shared" si="24"/>
        <v>0</v>
      </c>
      <c r="AB123" s="491">
        <f t="shared" si="24"/>
        <v>0</v>
      </c>
      <c r="AC123" s="492">
        <f t="shared" si="23"/>
        <v>0</v>
      </c>
    </row>
    <row r="124" spans="1:29" x14ac:dyDescent="0.25">
      <c r="A124" s="493" t="str">
        <f t="shared" si="30"/>
        <v>Don't</v>
      </c>
      <c r="B124" s="461" t="str">
        <f>B118</f>
        <v>Other Countries</v>
      </c>
      <c r="D124" t="s">
        <v>618</v>
      </c>
      <c r="E124" s="462" t="str">
        <f>E114</f>
        <v>BMP 1</v>
      </c>
      <c r="F124" s="489">
        <f>'Imp-Other -Autre'!E$169</f>
        <v>0</v>
      </c>
      <c r="G124" s="430">
        <f>'Imp-Other -Autre'!F$169</f>
        <v>0</v>
      </c>
      <c r="H124" s="430">
        <f>'Imp-Other -Autre'!G$169</f>
        <v>0</v>
      </c>
      <c r="I124" s="430">
        <f>'Imp-Other -Autre'!H$169</f>
        <v>0</v>
      </c>
      <c r="J124" s="430">
        <f>'Imp-Other -Autre'!I$169</f>
        <v>0</v>
      </c>
      <c r="K124" s="430">
        <f>'Imp-Other -Autre'!J$169</f>
        <v>0</v>
      </c>
      <c r="L124" s="430">
        <f>'Imp-Other -Autre'!K$169</f>
        <v>0</v>
      </c>
      <c r="M124" s="430">
        <f>'Imp-Other -Autre'!L$169</f>
        <v>0</v>
      </c>
      <c r="N124" s="489">
        <f>'Imp-Other -Autre'!E$170/1000</f>
        <v>0</v>
      </c>
      <c r="O124" s="430">
        <f>'Imp-Other -Autre'!F$170/1000</f>
        <v>0</v>
      </c>
      <c r="P124" s="430">
        <f>'Imp-Other -Autre'!G$170/1000</f>
        <v>0</v>
      </c>
      <c r="Q124" s="430">
        <f>'Imp-Other -Autre'!H$170/1000</f>
        <v>0</v>
      </c>
      <c r="R124" s="430">
        <f>'Imp-Other -Autre'!I$170/1000</f>
        <v>0</v>
      </c>
      <c r="S124" s="430">
        <f>'Imp-Other -Autre'!J$170/1000</f>
        <v>0</v>
      </c>
      <c r="T124" s="430">
        <f>'Imp-Other -Autre'!K$170/1000</f>
        <v>0</v>
      </c>
      <c r="U124" s="430">
        <f>'Imp-Other -Autre'!L$170/1000</f>
        <v>0</v>
      </c>
      <c r="V124" s="490">
        <f t="shared" si="24"/>
        <v>0</v>
      </c>
      <c r="W124" s="491">
        <f t="shared" si="24"/>
        <v>0</v>
      </c>
      <c r="X124" s="491">
        <f t="shared" si="24"/>
        <v>0</v>
      </c>
      <c r="Y124" s="491">
        <f t="shared" si="24"/>
        <v>0</v>
      </c>
      <c r="Z124" s="491">
        <f t="shared" si="24"/>
        <v>0</v>
      </c>
      <c r="AA124" s="491">
        <f t="shared" si="24"/>
        <v>0</v>
      </c>
      <c r="AB124" s="491">
        <f t="shared" si="24"/>
        <v>0</v>
      </c>
      <c r="AC124" s="492">
        <f t="shared" si="23"/>
        <v>0</v>
      </c>
    </row>
    <row r="125" spans="1:29" x14ac:dyDescent="0.25">
      <c r="A125" s="493" t="str">
        <f t="shared" si="30"/>
        <v>Don't</v>
      </c>
      <c r="B125" s="461" t="str">
        <f t="shared" ref="B125:B133" si="31">B119</f>
        <v>Other Countries</v>
      </c>
      <c r="D125" t="s">
        <v>618</v>
      </c>
      <c r="E125" s="462" t="str">
        <f t="shared" ref="E125:E133" si="32">E115</f>
        <v>BMP 2</v>
      </c>
      <c r="F125" s="489">
        <f>'Imp-Other -Autre'!E$174</f>
        <v>0</v>
      </c>
      <c r="G125" s="430">
        <f>'Imp-Other -Autre'!F$174</f>
        <v>0</v>
      </c>
      <c r="H125" s="430">
        <f>'Imp-Other -Autre'!G$174</f>
        <v>0</v>
      </c>
      <c r="I125" s="430">
        <f>'Imp-Other -Autre'!H$174</f>
        <v>0</v>
      </c>
      <c r="J125" s="430">
        <f>'Imp-Other -Autre'!I$174</f>
        <v>0</v>
      </c>
      <c r="K125" s="430">
        <f>'Imp-Other -Autre'!J$174</f>
        <v>0</v>
      </c>
      <c r="L125" s="430">
        <f>'Imp-Other -Autre'!K$174</f>
        <v>0</v>
      </c>
      <c r="M125" s="430">
        <f>'Imp-Other -Autre'!L$174</f>
        <v>0</v>
      </c>
      <c r="N125" s="489">
        <f>'Imp-Other -Autre'!E$175/1000</f>
        <v>0</v>
      </c>
      <c r="O125" s="430">
        <f>'Imp-Other -Autre'!F$175/1000</f>
        <v>0</v>
      </c>
      <c r="P125" s="430">
        <f>'Imp-Other -Autre'!G$175/1000</f>
        <v>0</v>
      </c>
      <c r="Q125" s="430">
        <f>'Imp-Other -Autre'!H$175/1000</f>
        <v>0</v>
      </c>
      <c r="R125" s="430">
        <f>'Imp-Other -Autre'!I$175/1000</f>
        <v>0</v>
      </c>
      <c r="S125" s="430">
        <f>'Imp-Other -Autre'!J$175/1000</f>
        <v>0</v>
      </c>
      <c r="T125" s="430">
        <f>'Imp-Other -Autre'!K$175/1000</f>
        <v>0</v>
      </c>
      <c r="U125" s="430">
        <f>'Imp-Other -Autre'!L$175/1000</f>
        <v>0</v>
      </c>
      <c r="V125" s="490">
        <f t="shared" si="24"/>
        <v>0</v>
      </c>
      <c r="W125" s="491">
        <f t="shared" si="24"/>
        <v>0</v>
      </c>
      <c r="X125" s="491">
        <f t="shared" si="24"/>
        <v>0</v>
      </c>
      <c r="Y125" s="491">
        <f t="shared" si="24"/>
        <v>0</v>
      </c>
      <c r="Z125" s="491">
        <f t="shared" si="24"/>
        <v>0</v>
      </c>
      <c r="AA125" s="491">
        <f t="shared" si="24"/>
        <v>0</v>
      </c>
      <c r="AB125" s="491">
        <f t="shared" si="24"/>
        <v>0</v>
      </c>
      <c r="AC125" s="492">
        <f t="shared" si="23"/>
        <v>0</v>
      </c>
    </row>
    <row r="126" spans="1:29" x14ac:dyDescent="0.25">
      <c r="A126" s="493" t="str">
        <f t="shared" si="30"/>
        <v>Don't</v>
      </c>
      <c r="B126" s="461" t="str">
        <f t="shared" si="31"/>
        <v>Other Countries</v>
      </c>
      <c r="D126" t="s">
        <v>618</v>
      </c>
      <c r="E126" s="462" t="str">
        <f t="shared" si="32"/>
        <v>BMP 3</v>
      </c>
      <c r="F126" s="489">
        <f>'Imp-Other -Autre'!E$179</f>
        <v>0</v>
      </c>
      <c r="G126" s="430">
        <f>'Imp-Other -Autre'!F$179</f>
        <v>0</v>
      </c>
      <c r="H126" s="430">
        <f>'Imp-Other -Autre'!G$179</f>
        <v>0</v>
      </c>
      <c r="I126" s="430">
        <f>'Imp-Other -Autre'!H$179</f>
        <v>0</v>
      </c>
      <c r="J126" s="430">
        <f>'Imp-Other -Autre'!I$179</f>
        <v>0</v>
      </c>
      <c r="K126" s="430">
        <f>'Imp-Other -Autre'!J$179</f>
        <v>0</v>
      </c>
      <c r="L126" s="430">
        <f>'Imp-Other -Autre'!K$179</f>
        <v>0</v>
      </c>
      <c r="M126" s="430">
        <f>'Imp-Other -Autre'!L$179</f>
        <v>0</v>
      </c>
      <c r="N126" s="489">
        <f>'Imp-Other -Autre'!E$180/1000</f>
        <v>0</v>
      </c>
      <c r="O126" s="430">
        <f>'Imp-Other -Autre'!F$180/1000</f>
        <v>0</v>
      </c>
      <c r="P126" s="430">
        <f>'Imp-Other -Autre'!G$180/1000</f>
        <v>0</v>
      </c>
      <c r="Q126" s="430">
        <f>'Imp-Other -Autre'!H$180/1000</f>
        <v>0</v>
      </c>
      <c r="R126" s="430">
        <f>'Imp-Other -Autre'!I$180/1000</f>
        <v>0</v>
      </c>
      <c r="S126" s="430">
        <f>'Imp-Other -Autre'!J$180/1000</f>
        <v>0</v>
      </c>
      <c r="T126" s="430">
        <f>'Imp-Other -Autre'!K$180/1000</f>
        <v>0</v>
      </c>
      <c r="U126" s="430">
        <f>'Imp-Other -Autre'!L$180/1000</f>
        <v>0</v>
      </c>
      <c r="V126" s="490">
        <f t="shared" si="24"/>
        <v>0</v>
      </c>
      <c r="W126" s="491">
        <f t="shared" si="24"/>
        <v>0</v>
      </c>
      <c r="X126" s="491">
        <f t="shared" si="24"/>
        <v>0</v>
      </c>
      <c r="Y126" s="491">
        <f t="shared" si="24"/>
        <v>0</v>
      </c>
      <c r="Z126" s="491">
        <f t="shared" si="24"/>
        <v>0</v>
      </c>
      <c r="AA126" s="491">
        <f t="shared" si="24"/>
        <v>0</v>
      </c>
      <c r="AB126" s="491">
        <f t="shared" si="24"/>
        <v>0</v>
      </c>
      <c r="AC126" s="492">
        <f t="shared" si="23"/>
        <v>0</v>
      </c>
    </row>
    <row r="127" spans="1:29" x14ac:dyDescent="0.25">
      <c r="A127" s="493" t="str">
        <f t="shared" si="30"/>
        <v>Don't</v>
      </c>
      <c r="B127" s="461" t="str">
        <f t="shared" si="31"/>
        <v>Other Countries</v>
      </c>
      <c r="D127" t="s">
        <v>618</v>
      </c>
      <c r="E127" s="462" t="str">
        <f t="shared" si="32"/>
        <v>BMP 4</v>
      </c>
      <c r="F127" s="489">
        <f>'Imp-Other -Autre'!E$184</f>
        <v>0</v>
      </c>
      <c r="G127" s="430">
        <f>'Imp-Other -Autre'!F$184</f>
        <v>0</v>
      </c>
      <c r="H127" s="430">
        <f>'Imp-Other -Autre'!G$184</f>
        <v>0</v>
      </c>
      <c r="I127" s="430">
        <f>'Imp-Other -Autre'!H$184</f>
        <v>0</v>
      </c>
      <c r="J127" s="430">
        <f>'Imp-Other -Autre'!I$184</f>
        <v>0</v>
      </c>
      <c r="K127" s="430">
        <f>'Imp-Other -Autre'!J$184</f>
        <v>0</v>
      </c>
      <c r="L127" s="430">
        <f>'Imp-Other -Autre'!K$184</f>
        <v>0</v>
      </c>
      <c r="M127" s="430">
        <f>'Imp-Other -Autre'!L$184</f>
        <v>0</v>
      </c>
      <c r="N127" s="489">
        <f>'Imp-Other -Autre'!E$185/1000</f>
        <v>0</v>
      </c>
      <c r="O127" s="430">
        <f>'Imp-Other -Autre'!F$185/1000</f>
        <v>0</v>
      </c>
      <c r="P127" s="430">
        <f>'Imp-Other -Autre'!G$185/1000</f>
        <v>0</v>
      </c>
      <c r="Q127" s="430">
        <f>'Imp-Other -Autre'!H$185/1000</f>
        <v>0</v>
      </c>
      <c r="R127" s="430">
        <f>'Imp-Other -Autre'!I$185/1000</f>
        <v>0</v>
      </c>
      <c r="S127" s="430">
        <f>'Imp-Other -Autre'!J$185/1000</f>
        <v>0</v>
      </c>
      <c r="T127" s="430">
        <f>'Imp-Other -Autre'!K$185/1000</f>
        <v>0</v>
      </c>
      <c r="U127" s="430">
        <f>'Imp-Other -Autre'!L$185/1000</f>
        <v>0</v>
      </c>
      <c r="V127" s="490">
        <f t="shared" si="24"/>
        <v>0</v>
      </c>
      <c r="W127" s="491">
        <f t="shared" si="24"/>
        <v>0</v>
      </c>
      <c r="X127" s="491">
        <f t="shared" si="24"/>
        <v>0</v>
      </c>
      <c r="Y127" s="491">
        <f t="shared" si="24"/>
        <v>0</v>
      </c>
      <c r="Z127" s="491">
        <f t="shared" si="24"/>
        <v>0</v>
      </c>
      <c r="AA127" s="491">
        <f t="shared" si="24"/>
        <v>0</v>
      </c>
      <c r="AB127" s="491">
        <f t="shared" si="24"/>
        <v>0</v>
      </c>
      <c r="AC127" s="492">
        <f t="shared" si="23"/>
        <v>0</v>
      </c>
    </row>
    <row r="128" spans="1:29" x14ac:dyDescent="0.25">
      <c r="A128" s="493" t="str">
        <f t="shared" si="30"/>
        <v>Don't</v>
      </c>
      <c r="B128" s="461" t="str">
        <f t="shared" si="31"/>
        <v>Other Countries</v>
      </c>
      <c r="D128" t="s">
        <v>618</v>
      </c>
      <c r="E128" s="462" t="str">
        <f t="shared" si="32"/>
        <v>BMP 5</v>
      </c>
      <c r="F128" s="489">
        <f>'Imp-Other -Autre'!E$189</f>
        <v>0</v>
      </c>
      <c r="G128" s="430">
        <f>'Imp-Other -Autre'!F$189</f>
        <v>0</v>
      </c>
      <c r="H128" s="430">
        <f>'Imp-Other -Autre'!G$189</f>
        <v>0</v>
      </c>
      <c r="I128" s="430">
        <f>'Imp-Other -Autre'!H$189</f>
        <v>0</v>
      </c>
      <c r="J128" s="430">
        <f>'Imp-Other -Autre'!I$189</f>
        <v>0</v>
      </c>
      <c r="K128" s="430">
        <f>'Imp-Other -Autre'!J$189</f>
        <v>0</v>
      </c>
      <c r="L128" s="430">
        <f>'Imp-Other -Autre'!K$189</f>
        <v>0</v>
      </c>
      <c r="M128" s="430">
        <f>'Imp-Other -Autre'!L$189</f>
        <v>0</v>
      </c>
      <c r="N128" s="489">
        <f>'Imp-Other -Autre'!E$190/1000</f>
        <v>0</v>
      </c>
      <c r="O128" s="430">
        <f>'Imp-Other -Autre'!F$190/1000</f>
        <v>0</v>
      </c>
      <c r="P128" s="430">
        <f>'Imp-Other -Autre'!G$190/1000</f>
        <v>0</v>
      </c>
      <c r="Q128" s="430">
        <f>'Imp-Other -Autre'!H$190/1000</f>
        <v>0</v>
      </c>
      <c r="R128" s="430">
        <f>'Imp-Other -Autre'!I$190/1000</f>
        <v>0</v>
      </c>
      <c r="S128" s="430">
        <f>'Imp-Other -Autre'!J$190/1000</f>
        <v>0</v>
      </c>
      <c r="T128" s="430">
        <f>'Imp-Other -Autre'!K$190/1000</f>
        <v>0</v>
      </c>
      <c r="U128" s="430">
        <f>'Imp-Other -Autre'!L$190/1000</f>
        <v>0</v>
      </c>
      <c r="V128" s="490">
        <f t="shared" si="24"/>
        <v>0</v>
      </c>
      <c r="W128" s="491">
        <f t="shared" si="24"/>
        <v>0</v>
      </c>
      <c r="X128" s="491">
        <f t="shared" si="24"/>
        <v>0</v>
      </c>
      <c r="Y128" s="491">
        <f t="shared" ref="Y128:AB153" si="33">(IF(ISERROR(Q128/I128),0,Q128/I128))*1000</f>
        <v>0</v>
      </c>
      <c r="Z128" s="491">
        <f t="shared" si="33"/>
        <v>0</v>
      </c>
      <c r="AA128" s="491">
        <f t="shared" si="33"/>
        <v>0</v>
      </c>
      <c r="AB128" s="491">
        <f t="shared" si="33"/>
        <v>0</v>
      </c>
      <c r="AC128" s="492">
        <f t="shared" si="23"/>
        <v>0</v>
      </c>
    </row>
    <row r="129" spans="1:29" x14ac:dyDescent="0.25">
      <c r="A129" s="493" t="str">
        <f t="shared" si="30"/>
        <v>Don't</v>
      </c>
      <c r="B129" s="461" t="str">
        <f t="shared" si="31"/>
        <v>Other Countries</v>
      </c>
      <c r="D129" t="s">
        <v>618</v>
      </c>
      <c r="E129" s="462" t="str">
        <f t="shared" si="32"/>
        <v>BMP 6</v>
      </c>
      <c r="F129" s="489">
        <f>'Imp-Other -Autre'!E$194</f>
        <v>0</v>
      </c>
      <c r="G129" s="430">
        <f>'Imp-Other -Autre'!F$194</f>
        <v>0</v>
      </c>
      <c r="H129" s="430">
        <f>'Imp-Other -Autre'!G$194</f>
        <v>0</v>
      </c>
      <c r="I129" s="430">
        <f>'Imp-Other -Autre'!H$194</f>
        <v>0</v>
      </c>
      <c r="J129" s="430">
        <f>'Imp-Other -Autre'!I$194</f>
        <v>0</v>
      </c>
      <c r="K129" s="430">
        <f>'Imp-Other -Autre'!J$194</f>
        <v>0</v>
      </c>
      <c r="L129" s="430">
        <f>'Imp-Other -Autre'!K$194</f>
        <v>0</v>
      </c>
      <c r="M129" s="430">
        <f>'Imp-Other -Autre'!L$194</f>
        <v>0</v>
      </c>
      <c r="N129" s="489">
        <f>'Imp-Other -Autre'!E$195/1000</f>
        <v>0</v>
      </c>
      <c r="O129" s="430">
        <f>'Imp-Other -Autre'!F$195/1000</f>
        <v>0</v>
      </c>
      <c r="P129" s="430">
        <f>'Imp-Other -Autre'!G$195/1000</f>
        <v>0</v>
      </c>
      <c r="Q129" s="430">
        <f>'Imp-Other -Autre'!H$195/1000</f>
        <v>0</v>
      </c>
      <c r="R129" s="430">
        <f>'Imp-Other -Autre'!I$195/1000</f>
        <v>0</v>
      </c>
      <c r="S129" s="430">
        <f>'Imp-Other -Autre'!J$195/1000</f>
        <v>0</v>
      </c>
      <c r="T129" s="430">
        <f>'Imp-Other -Autre'!K$195/1000</f>
        <v>0</v>
      </c>
      <c r="U129" s="430">
        <f>'Imp-Other -Autre'!L$195/1000</f>
        <v>0</v>
      </c>
      <c r="V129" s="490">
        <f t="shared" ref="V129:X153" si="34">(IF(ISERROR(N129/F129),0,N129/F129))*1000</f>
        <v>0</v>
      </c>
      <c r="W129" s="491">
        <f t="shared" si="34"/>
        <v>0</v>
      </c>
      <c r="X129" s="491">
        <f t="shared" si="34"/>
        <v>0</v>
      </c>
      <c r="Y129" s="491">
        <f t="shared" si="33"/>
        <v>0</v>
      </c>
      <c r="Z129" s="491">
        <f t="shared" si="33"/>
        <v>0</v>
      </c>
      <c r="AA129" s="491">
        <f t="shared" si="33"/>
        <v>0</v>
      </c>
      <c r="AB129" s="491">
        <f t="shared" si="33"/>
        <v>0</v>
      </c>
      <c r="AC129" s="492">
        <f t="shared" si="23"/>
        <v>0</v>
      </c>
    </row>
    <row r="130" spans="1:29" x14ac:dyDescent="0.25">
      <c r="A130" s="493" t="str">
        <f t="shared" si="30"/>
        <v>Don't</v>
      </c>
      <c r="B130" s="461" t="str">
        <f t="shared" si="31"/>
        <v>Other Countries</v>
      </c>
      <c r="D130" t="s">
        <v>618</v>
      </c>
      <c r="E130" s="462" t="str">
        <f t="shared" si="32"/>
        <v>BMP 7</v>
      </c>
      <c r="F130" s="489">
        <f>'Imp-Other -Autre'!E$199</f>
        <v>0</v>
      </c>
      <c r="G130" s="430">
        <f>'Imp-Other -Autre'!F$199</f>
        <v>0</v>
      </c>
      <c r="H130" s="430">
        <f>'Imp-Other -Autre'!G$199</f>
        <v>0</v>
      </c>
      <c r="I130" s="430">
        <f>'Imp-Other -Autre'!H$199</f>
        <v>0</v>
      </c>
      <c r="J130" s="430">
        <f>'Imp-Other -Autre'!I$199</f>
        <v>0</v>
      </c>
      <c r="K130" s="430">
        <f>'Imp-Other -Autre'!J$199</f>
        <v>0</v>
      </c>
      <c r="L130" s="430">
        <f>'Imp-Other -Autre'!K$199</f>
        <v>0</v>
      </c>
      <c r="M130" s="430">
        <f>'Imp-Other -Autre'!L$199</f>
        <v>0</v>
      </c>
      <c r="N130" s="489">
        <f>'Imp-Other -Autre'!E$200/1000</f>
        <v>0</v>
      </c>
      <c r="O130" s="430">
        <f>'Imp-Other -Autre'!F$200/1000</f>
        <v>0</v>
      </c>
      <c r="P130" s="430">
        <f>'Imp-Other -Autre'!G$200/1000</f>
        <v>0</v>
      </c>
      <c r="Q130" s="430">
        <f>'Imp-Other -Autre'!H$200/1000</f>
        <v>0</v>
      </c>
      <c r="R130" s="430">
        <f>'Imp-Other -Autre'!I$200/1000</f>
        <v>0</v>
      </c>
      <c r="S130" s="430">
        <f>'Imp-Other -Autre'!J$200/1000</f>
        <v>0</v>
      </c>
      <c r="T130" s="430">
        <f>'Imp-Other -Autre'!K$200/1000</f>
        <v>0</v>
      </c>
      <c r="U130" s="430">
        <f>'Imp-Other -Autre'!L$200/1000</f>
        <v>0</v>
      </c>
      <c r="V130" s="490">
        <f t="shared" si="34"/>
        <v>0</v>
      </c>
      <c r="W130" s="491">
        <f t="shared" si="34"/>
        <v>0</v>
      </c>
      <c r="X130" s="491">
        <f t="shared" si="34"/>
        <v>0</v>
      </c>
      <c r="Y130" s="491">
        <f t="shared" si="33"/>
        <v>0</v>
      </c>
      <c r="Z130" s="491">
        <f t="shared" si="33"/>
        <v>0</v>
      </c>
      <c r="AA130" s="491">
        <f t="shared" si="33"/>
        <v>0</v>
      </c>
      <c r="AB130" s="491">
        <f t="shared" si="33"/>
        <v>0</v>
      </c>
      <c r="AC130" s="492">
        <f t="shared" si="23"/>
        <v>0</v>
      </c>
    </row>
    <row r="131" spans="1:29" x14ac:dyDescent="0.25">
      <c r="A131" s="493" t="str">
        <f t="shared" si="30"/>
        <v>Don't</v>
      </c>
      <c r="B131" s="461" t="str">
        <f t="shared" si="31"/>
        <v>Other Countries</v>
      </c>
      <c r="D131" t="s">
        <v>618</v>
      </c>
      <c r="E131" s="462" t="str">
        <f t="shared" si="32"/>
        <v>BMP 8</v>
      </c>
      <c r="F131" s="489">
        <f>'Imp-Other -Autre'!E$204</f>
        <v>0</v>
      </c>
      <c r="G131" s="430">
        <f>'Imp-Other -Autre'!F$204</f>
        <v>0</v>
      </c>
      <c r="H131" s="430">
        <f>'Imp-Other -Autre'!G$204</f>
        <v>0</v>
      </c>
      <c r="I131" s="430">
        <f>'Imp-Other -Autre'!H$204</f>
        <v>0</v>
      </c>
      <c r="J131" s="430">
        <f>'Imp-Other -Autre'!I$204</f>
        <v>0</v>
      </c>
      <c r="K131" s="430">
        <f>'Imp-Other -Autre'!J$204</f>
        <v>0</v>
      </c>
      <c r="L131" s="430">
        <f>'Imp-Other -Autre'!K$204</f>
        <v>0</v>
      </c>
      <c r="M131" s="430">
        <f>'Imp-Other -Autre'!L$204</f>
        <v>0</v>
      </c>
      <c r="N131" s="489">
        <f>'Imp-Other -Autre'!E$205/1000</f>
        <v>0</v>
      </c>
      <c r="O131" s="430">
        <f>'Imp-Other -Autre'!F$205/1000</f>
        <v>0</v>
      </c>
      <c r="P131" s="430">
        <f>'Imp-Other -Autre'!G$205/1000</f>
        <v>0</v>
      </c>
      <c r="Q131" s="430">
        <f>'Imp-Other -Autre'!H$205/1000</f>
        <v>0</v>
      </c>
      <c r="R131" s="430">
        <f>'Imp-Other -Autre'!I$205/1000</f>
        <v>0</v>
      </c>
      <c r="S131" s="430">
        <f>'Imp-Other -Autre'!J$205/1000</f>
        <v>0</v>
      </c>
      <c r="T131" s="430">
        <f>'Imp-Other -Autre'!K$205/1000</f>
        <v>0</v>
      </c>
      <c r="U131" s="430">
        <f>'Imp-Other -Autre'!L$205/1000</f>
        <v>0</v>
      </c>
      <c r="V131" s="490">
        <f t="shared" si="34"/>
        <v>0</v>
      </c>
      <c r="W131" s="491">
        <f t="shared" si="34"/>
        <v>0</v>
      </c>
      <c r="X131" s="491">
        <f t="shared" si="34"/>
        <v>0</v>
      </c>
      <c r="Y131" s="491">
        <f t="shared" si="33"/>
        <v>0</v>
      </c>
      <c r="Z131" s="491">
        <f t="shared" si="33"/>
        <v>0</v>
      </c>
      <c r="AA131" s="491">
        <f t="shared" si="33"/>
        <v>0</v>
      </c>
      <c r="AB131" s="491">
        <f t="shared" si="33"/>
        <v>0</v>
      </c>
      <c r="AC131" s="492">
        <f t="shared" si="23"/>
        <v>0</v>
      </c>
    </row>
    <row r="132" spans="1:29" x14ac:dyDescent="0.25">
      <c r="A132" s="493" t="str">
        <f t="shared" si="30"/>
        <v>Don't</v>
      </c>
      <c r="B132" s="461" t="str">
        <f t="shared" si="31"/>
        <v>Other Countries</v>
      </c>
      <c r="D132" t="s">
        <v>618</v>
      </c>
      <c r="E132" s="462" t="str">
        <f t="shared" si="32"/>
        <v>BMP 9</v>
      </c>
      <c r="F132" s="489">
        <f>'Imp-Other -Autre'!E$209</f>
        <v>0</v>
      </c>
      <c r="G132" s="430">
        <f>'Imp-Other -Autre'!F$209</f>
        <v>0</v>
      </c>
      <c r="H132" s="430">
        <f>'Imp-Other -Autre'!G$209</f>
        <v>0</v>
      </c>
      <c r="I132" s="430">
        <f>'Imp-Other -Autre'!H$209</f>
        <v>0</v>
      </c>
      <c r="J132" s="430">
        <f>'Imp-Other -Autre'!I$209</f>
        <v>0</v>
      </c>
      <c r="K132" s="430">
        <f>'Imp-Other -Autre'!J$209</f>
        <v>0</v>
      </c>
      <c r="L132" s="430">
        <f>'Imp-Other -Autre'!K$209</f>
        <v>0</v>
      </c>
      <c r="M132" s="430">
        <f>'Imp-Other -Autre'!L$209</f>
        <v>0</v>
      </c>
      <c r="N132" s="489">
        <f>'Imp-Other -Autre'!E$210/1000</f>
        <v>0</v>
      </c>
      <c r="O132" s="430">
        <f>'Imp-Other -Autre'!F$210/1000</f>
        <v>0</v>
      </c>
      <c r="P132" s="430">
        <f>'Imp-Other -Autre'!G$210/1000</f>
        <v>0</v>
      </c>
      <c r="Q132" s="430">
        <f>'Imp-Other -Autre'!H$210/1000</f>
        <v>0</v>
      </c>
      <c r="R132" s="430">
        <f>'Imp-Other -Autre'!I$210/1000</f>
        <v>0</v>
      </c>
      <c r="S132" s="430">
        <f>'Imp-Other -Autre'!J$210/1000</f>
        <v>0</v>
      </c>
      <c r="T132" s="430">
        <f>'Imp-Other -Autre'!K$210/1000</f>
        <v>0</v>
      </c>
      <c r="U132" s="430">
        <f>'Imp-Other -Autre'!L$210/1000</f>
        <v>0</v>
      </c>
      <c r="V132" s="490">
        <f t="shared" si="34"/>
        <v>0</v>
      </c>
      <c r="W132" s="491">
        <f t="shared" si="34"/>
        <v>0</v>
      </c>
      <c r="X132" s="491">
        <f t="shared" si="34"/>
        <v>0</v>
      </c>
      <c r="Y132" s="491">
        <f t="shared" si="33"/>
        <v>0</v>
      </c>
      <c r="Z132" s="491">
        <f t="shared" si="33"/>
        <v>0</v>
      </c>
      <c r="AA132" s="491">
        <f t="shared" si="33"/>
        <v>0</v>
      </c>
      <c r="AB132" s="491">
        <f t="shared" si="33"/>
        <v>0</v>
      </c>
      <c r="AC132" s="492">
        <f t="shared" si="23"/>
        <v>0</v>
      </c>
    </row>
    <row r="133" spans="1:29" x14ac:dyDescent="0.25">
      <c r="A133" s="493" t="str">
        <f t="shared" si="30"/>
        <v>Don't</v>
      </c>
      <c r="B133" s="461" t="str">
        <f t="shared" si="31"/>
        <v>Other Countries</v>
      </c>
      <c r="D133" t="s">
        <v>618</v>
      </c>
      <c r="E133" s="462" t="str">
        <f t="shared" si="32"/>
        <v>BMP 10</v>
      </c>
      <c r="F133" s="489">
        <f>'Imp-Other -Autre'!E$214</f>
        <v>0</v>
      </c>
      <c r="G133" s="430">
        <f>'Imp-Other -Autre'!F$214</f>
        <v>0</v>
      </c>
      <c r="H133" s="430">
        <f>'Imp-Other -Autre'!G$214</f>
        <v>0</v>
      </c>
      <c r="I133" s="430">
        <f>'Imp-Other -Autre'!H$214</f>
        <v>0</v>
      </c>
      <c r="J133" s="430">
        <f>'Imp-Other -Autre'!I$214</f>
        <v>0</v>
      </c>
      <c r="K133" s="430">
        <f>'Imp-Other -Autre'!J$214</f>
        <v>0</v>
      </c>
      <c r="L133" s="430">
        <f>'Imp-Other -Autre'!K$214</f>
        <v>0</v>
      </c>
      <c r="M133" s="430">
        <f>'Imp-Other -Autre'!L$214</f>
        <v>0</v>
      </c>
      <c r="N133" s="489">
        <f>'Imp-Other -Autre'!E$215/1000</f>
        <v>0</v>
      </c>
      <c r="O133" s="430">
        <f>'Imp-Other -Autre'!F$215/1000</f>
        <v>0</v>
      </c>
      <c r="P133" s="430">
        <f>'Imp-Other -Autre'!G$215/1000</f>
        <v>0</v>
      </c>
      <c r="Q133" s="430">
        <f>'Imp-Other -Autre'!H$215/1000</f>
        <v>0</v>
      </c>
      <c r="R133" s="430">
        <f>'Imp-Other -Autre'!I$215/1000</f>
        <v>0</v>
      </c>
      <c r="S133" s="430">
        <f>'Imp-Other -Autre'!J$215/1000</f>
        <v>0</v>
      </c>
      <c r="T133" s="430">
        <f>'Imp-Other -Autre'!K$215/1000</f>
        <v>0</v>
      </c>
      <c r="U133" s="430">
        <f>'Imp-Other -Autre'!L$215/1000</f>
        <v>0</v>
      </c>
      <c r="V133" s="490">
        <f t="shared" si="34"/>
        <v>0</v>
      </c>
      <c r="W133" s="491">
        <f t="shared" si="34"/>
        <v>0</v>
      </c>
      <c r="X133" s="491">
        <f t="shared" si="34"/>
        <v>0</v>
      </c>
      <c r="Y133" s="491">
        <f t="shared" si="33"/>
        <v>0</v>
      </c>
      <c r="Z133" s="491">
        <f t="shared" si="33"/>
        <v>0</v>
      </c>
      <c r="AA133" s="491">
        <f t="shared" si="33"/>
        <v>0</v>
      </c>
      <c r="AB133" s="491">
        <f t="shared" si="33"/>
        <v>0</v>
      </c>
      <c r="AC133" s="492">
        <f t="shared" si="23"/>
        <v>0</v>
      </c>
    </row>
    <row r="134" spans="1:29" x14ac:dyDescent="0.25">
      <c r="A134" s="493" t="str">
        <f>IF(SUM(F134:U149)&gt;=0.01,"Copy","Don't")</f>
        <v>Don't</v>
      </c>
      <c r="B134" s="494" t="s">
        <v>582</v>
      </c>
      <c r="C134" s="495"/>
      <c r="D134" s="495" t="s">
        <v>607</v>
      </c>
      <c r="E134" s="496" t="s">
        <v>608</v>
      </c>
      <c r="F134" s="489">
        <f>'Other Measures|Autre Mesures'!E$98</f>
        <v>0</v>
      </c>
      <c r="G134" s="430">
        <f>'Other Measures|Autre Mesures'!F$98</f>
        <v>0</v>
      </c>
      <c r="H134" s="430">
        <f>'Other Measures|Autre Mesures'!G$98</f>
        <v>0</v>
      </c>
      <c r="I134" s="430">
        <f>'Other Measures|Autre Mesures'!H$98</f>
        <v>0</v>
      </c>
      <c r="J134" s="430">
        <f>'Other Measures|Autre Mesures'!I$98</f>
        <v>0</v>
      </c>
      <c r="K134" s="430">
        <f>'Other Measures|Autre Mesures'!J$98</f>
        <v>0</v>
      </c>
      <c r="L134" s="430">
        <f>'Other Measures|Autre Mesures'!K$98</f>
        <v>0</v>
      </c>
      <c r="M134" s="430">
        <f>'Other Measures|Autre Mesures'!L$98</f>
        <v>0</v>
      </c>
      <c r="N134" s="489">
        <f>'Other Measures|Autre Mesures'!E$99/1000</f>
        <v>0</v>
      </c>
      <c r="O134" s="430">
        <f>'Other Measures|Autre Mesures'!F$99/1000</f>
        <v>0</v>
      </c>
      <c r="P134" s="430">
        <f>'Other Measures|Autre Mesures'!G$99/1000</f>
        <v>0</v>
      </c>
      <c r="Q134" s="430">
        <f>'Other Measures|Autre Mesures'!H$99/1000</f>
        <v>0</v>
      </c>
      <c r="R134" s="430">
        <f>'Other Measures|Autre Mesures'!I$99/1000</f>
        <v>0</v>
      </c>
      <c r="S134" s="430">
        <f>'Other Measures|Autre Mesures'!J$99/1000</f>
        <v>0</v>
      </c>
      <c r="T134" s="430">
        <f>'Other Measures|Autre Mesures'!K$99/1000</f>
        <v>0</v>
      </c>
      <c r="U134" s="430">
        <f>'Other Measures|Autre Mesures'!L$99/1000</f>
        <v>0</v>
      </c>
      <c r="V134" s="490">
        <f t="shared" si="34"/>
        <v>0</v>
      </c>
      <c r="W134" s="491">
        <f t="shared" si="34"/>
        <v>0</v>
      </c>
      <c r="X134" s="491">
        <f t="shared" si="34"/>
        <v>0</v>
      </c>
      <c r="Y134" s="491">
        <f t="shared" si="33"/>
        <v>0</v>
      </c>
      <c r="Z134" s="491">
        <f t="shared" si="33"/>
        <v>0</v>
      </c>
      <c r="AA134" s="491">
        <f t="shared" si="33"/>
        <v>0</v>
      </c>
      <c r="AB134" s="491">
        <f t="shared" si="33"/>
        <v>0</v>
      </c>
      <c r="AC134" s="492">
        <f t="shared" si="23"/>
        <v>0</v>
      </c>
    </row>
    <row r="135" spans="1:29" x14ac:dyDescent="0.25">
      <c r="A135" s="493" t="str">
        <f>A134</f>
        <v>Don't</v>
      </c>
      <c r="B135" s="461" t="str">
        <f>B134</f>
        <v>Other Countries with measures</v>
      </c>
      <c r="D135" t="str">
        <f>D134</f>
        <v>IMP</v>
      </c>
      <c r="E135" s="462" t="s">
        <v>609</v>
      </c>
      <c r="F135" s="489">
        <f>'Other Measures|Autre Mesures'!E$103</f>
        <v>0</v>
      </c>
      <c r="G135" s="430">
        <f>'Other Measures|Autre Mesures'!F$103</f>
        <v>0</v>
      </c>
      <c r="H135" s="430">
        <f>'Other Measures|Autre Mesures'!G$103</f>
        <v>0</v>
      </c>
      <c r="I135" s="430">
        <f>'Other Measures|Autre Mesures'!H$103</f>
        <v>0</v>
      </c>
      <c r="J135" s="430">
        <f>'Other Measures|Autre Mesures'!I$103</f>
        <v>0</v>
      </c>
      <c r="K135" s="430">
        <f>'Other Measures|Autre Mesures'!J$103</f>
        <v>0</v>
      </c>
      <c r="L135" s="430">
        <f>'Other Measures|Autre Mesures'!K$103</f>
        <v>0</v>
      </c>
      <c r="M135" s="430">
        <f>'Other Measures|Autre Mesures'!L$103</f>
        <v>0</v>
      </c>
      <c r="N135" s="489">
        <f>'Other Measures|Autre Mesures'!E$104/1000</f>
        <v>0</v>
      </c>
      <c r="O135" s="430">
        <f>'Other Measures|Autre Mesures'!F$104/1000</f>
        <v>0</v>
      </c>
      <c r="P135" s="430">
        <f>'Other Measures|Autre Mesures'!G$104/1000</f>
        <v>0</v>
      </c>
      <c r="Q135" s="430">
        <f>'Other Measures|Autre Mesures'!H$104/1000</f>
        <v>0</v>
      </c>
      <c r="R135" s="430">
        <f>'Other Measures|Autre Mesures'!I$104/1000</f>
        <v>0</v>
      </c>
      <c r="S135" s="430">
        <f>'Other Measures|Autre Mesures'!J$104/1000</f>
        <v>0</v>
      </c>
      <c r="T135" s="430">
        <f>'Other Measures|Autre Mesures'!K$104/1000</f>
        <v>0</v>
      </c>
      <c r="U135" s="430">
        <f>'Other Measures|Autre Mesures'!L$104/1000</f>
        <v>0</v>
      </c>
      <c r="V135" s="490">
        <f t="shared" si="34"/>
        <v>0</v>
      </c>
      <c r="W135" s="491">
        <f t="shared" si="34"/>
        <v>0</v>
      </c>
      <c r="X135" s="491">
        <f t="shared" si="34"/>
        <v>0</v>
      </c>
      <c r="Y135" s="491">
        <f t="shared" si="33"/>
        <v>0</v>
      </c>
      <c r="Z135" s="491">
        <f t="shared" si="33"/>
        <v>0</v>
      </c>
      <c r="AA135" s="491">
        <f t="shared" si="33"/>
        <v>0</v>
      </c>
      <c r="AB135" s="491">
        <f t="shared" si="33"/>
        <v>0</v>
      </c>
      <c r="AC135" s="492">
        <f t="shared" si="23"/>
        <v>0</v>
      </c>
    </row>
    <row r="136" spans="1:29" x14ac:dyDescent="0.25">
      <c r="A136" s="493" t="str">
        <f t="shared" ref="A136:B153" si="35">A135</f>
        <v>Don't</v>
      </c>
      <c r="B136" s="461" t="str">
        <f>B135</f>
        <v>Other Countries with measures</v>
      </c>
      <c r="D136" t="str">
        <f t="shared" ref="D136:D143" si="36">D135</f>
        <v>IMP</v>
      </c>
      <c r="E136" s="462" t="s">
        <v>610</v>
      </c>
      <c r="F136" s="489">
        <f>'Other Measures|Autre Mesures'!E$108</f>
        <v>0</v>
      </c>
      <c r="G136" s="430">
        <f>'Other Measures|Autre Mesures'!F$108</f>
        <v>0</v>
      </c>
      <c r="H136" s="430">
        <f>'Other Measures|Autre Mesures'!G$108</f>
        <v>0</v>
      </c>
      <c r="I136" s="430">
        <f>'Other Measures|Autre Mesures'!H$108</f>
        <v>0</v>
      </c>
      <c r="J136" s="430">
        <f>'Other Measures|Autre Mesures'!I$108</f>
        <v>0</v>
      </c>
      <c r="K136" s="430">
        <f>'Other Measures|Autre Mesures'!J$108</f>
        <v>0</v>
      </c>
      <c r="L136" s="430">
        <f>'Other Measures|Autre Mesures'!K$108</f>
        <v>0</v>
      </c>
      <c r="M136" s="430">
        <f>'Other Measures|Autre Mesures'!L$108</f>
        <v>0</v>
      </c>
      <c r="N136" s="489">
        <f>'Other Measures|Autre Mesures'!E$109/1000</f>
        <v>0</v>
      </c>
      <c r="O136" s="430">
        <f>'Other Measures|Autre Mesures'!F$109/1000</f>
        <v>0</v>
      </c>
      <c r="P136" s="430">
        <f>'Other Measures|Autre Mesures'!G$109/1000</f>
        <v>0</v>
      </c>
      <c r="Q136" s="430">
        <f>'Other Measures|Autre Mesures'!H$109/1000</f>
        <v>0</v>
      </c>
      <c r="R136" s="430">
        <f>'Other Measures|Autre Mesures'!I$109/1000</f>
        <v>0</v>
      </c>
      <c r="S136" s="430">
        <f>'Other Measures|Autre Mesures'!J$109/1000</f>
        <v>0</v>
      </c>
      <c r="T136" s="430">
        <f>'Other Measures|Autre Mesures'!K$109/1000</f>
        <v>0</v>
      </c>
      <c r="U136" s="430">
        <f>'Other Measures|Autre Mesures'!L$109/1000</f>
        <v>0</v>
      </c>
      <c r="V136" s="490">
        <f t="shared" si="34"/>
        <v>0</v>
      </c>
      <c r="W136" s="491">
        <f t="shared" si="34"/>
        <v>0</v>
      </c>
      <c r="X136" s="491">
        <f t="shared" si="34"/>
        <v>0</v>
      </c>
      <c r="Y136" s="491">
        <f t="shared" si="33"/>
        <v>0</v>
      </c>
      <c r="Z136" s="491">
        <f t="shared" si="33"/>
        <v>0</v>
      </c>
      <c r="AA136" s="491">
        <f t="shared" si="33"/>
        <v>0</v>
      </c>
      <c r="AB136" s="491">
        <f t="shared" si="33"/>
        <v>0</v>
      </c>
      <c r="AC136" s="492">
        <f t="shared" si="23"/>
        <v>0</v>
      </c>
    </row>
    <row r="137" spans="1:29" x14ac:dyDescent="0.25">
      <c r="A137" s="493" t="str">
        <f t="shared" si="35"/>
        <v>Don't</v>
      </c>
      <c r="B137" s="461" t="str">
        <f>B136</f>
        <v>Other Countries with measures</v>
      </c>
      <c r="D137" t="str">
        <f t="shared" si="36"/>
        <v>IMP</v>
      </c>
      <c r="E137" s="462" t="s">
        <v>611</v>
      </c>
      <c r="F137" s="489">
        <f>'Other Measures|Autre Mesures'!E$113</f>
        <v>0</v>
      </c>
      <c r="G137" s="430">
        <f>'Other Measures|Autre Mesures'!F$113</f>
        <v>0</v>
      </c>
      <c r="H137" s="430">
        <f>'Other Measures|Autre Mesures'!G$113</f>
        <v>0</v>
      </c>
      <c r="I137" s="430">
        <f>'Other Measures|Autre Mesures'!H$113</f>
        <v>0</v>
      </c>
      <c r="J137" s="430">
        <f>'Other Measures|Autre Mesures'!I$113</f>
        <v>0</v>
      </c>
      <c r="K137" s="430">
        <f>'Other Measures|Autre Mesures'!J$113</f>
        <v>0</v>
      </c>
      <c r="L137" s="430">
        <f>'Other Measures|Autre Mesures'!K$113</f>
        <v>0</v>
      </c>
      <c r="M137" s="430">
        <f>'Other Measures|Autre Mesures'!L$113</f>
        <v>0</v>
      </c>
      <c r="N137" s="489">
        <f>'Other Measures|Autre Mesures'!E$114/1000</f>
        <v>0</v>
      </c>
      <c r="O137" s="430">
        <f>'Other Measures|Autre Mesures'!F$114/1000</f>
        <v>0</v>
      </c>
      <c r="P137" s="430">
        <f>'Other Measures|Autre Mesures'!G$114/1000</f>
        <v>0</v>
      </c>
      <c r="Q137" s="430">
        <f>'Other Measures|Autre Mesures'!H$114/1000</f>
        <v>0</v>
      </c>
      <c r="R137" s="430">
        <f>'Other Measures|Autre Mesures'!I$114/1000</f>
        <v>0</v>
      </c>
      <c r="S137" s="430">
        <f>'Other Measures|Autre Mesures'!J$114/1000</f>
        <v>0</v>
      </c>
      <c r="T137" s="430">
        <f>'Other Measures|Autre Mesures'!K$114/1000</f>
        <v>0</v>
      </c>
      <c r="U137" s="430">
        <f>'Other Measures|Autre Mesures'!L$114/1000</f>
        <v>0</v>
      </c>
      <c r="V137" s="490">
        <f t="shared" si="34"/>
        <v>0</v>
      </c>
      <c r="W137" s="491">
        <f t="shared" si="34"/>
        <v>0</v>
      </c>
      <c r="X137" s="491">
        <f t="shared" si="34"/>
        <v>0</v>
      </c>
      <c r="Y137" s="491">
        <f t="shared" si="33"/>
        <v>0</v>
      </c>
      <c r="Z137" s="491">
        <f t="shared" si="33"/>
        <v>0</v>
      </c>
      <c r="AA137" s="491">
        <f t="shared" si="33"/>
        <v>0</v>
      </c>
      <c r="AB137" s="491">
        <f t="shared" si="33"/>
        <v>0</v>
      </c>
      <c r="AC137" s="492">
        <f t="shared" si="23"/>
        <v>0</v>
      </c>
    </row>
    <row r="138" spans="1:29" x14ac:dyDescent="0.25">
      <c r="A138" s="493" t="str">
        <f t="shared" si="35"/>
        <v>Don't</v>
      </c>
      <c r="B138" s="461" t="str">
        <f>B137</f>
        <v>Other Countries with measures</v>
      </c>
      <c r="D138" t="str">
        <f t="shared" si="36"/>
        <v>IMP</v>
      </c>
      <c r="E138" s="462" t="s">
        <v>612</v>
      </c>
      <c r="F138" s="489">
        <f>'Other Measures|Autre Mesures'!E$118</f>
        <v>0</v>
      </c>
      <c r="G138" s="430">
        <f>'Other Measures|Autre Mesures'!F$118</f>
        <v>0</v>
      </c>
      <c r="H138" s="430">
        <f>'Other Measures|Autre Mesures'!G$118</f>
        <v>0</v>
      </c>
      <c r="I138" s="430">
        <f>'Other Measures|Autre Mesures'!H$118</f>
        <v>0</v>
      </c>
      <c r="J138" s="430">
        <f>'Other Measures|Autre Mesures'!I$118</f>
        <v>0</v>
      </c>
      <c r="K138" s="430">
        <f>'Other Measures|Autre Mesures'!J$118</f>
        <v>0</v>
      </c>
      <c r="L138" s="430">
        <f>'Other Measures|Autre Mesures'!K$118</f>
        <v>0</v>
      </c>
      <c r="M138" s="430">
        <f>'Other Measures|Autre Mesures'!L$118</f>
        <v>0</v>
      </c>
      <c r="N138" s="489">
        <f>'Other Measures|Autre Mesures'!E$119/1000</f>
        <v>0</v>
      </c>
      <c r="O138" s="430">
        <f>'Other Measures|Autre Mesures'!F$119/1000</f>
        <v>0</v>
      </c>
      <c r="P138" s="430">
        <f>'Other Measures|Autre Mesures'!G$119/1000</f>
        <v>0</v>
      </c>
      <c r="Q138" s="430">
        <f>'Other Measures|Autre Mesures'!H$119/1000</f>
        <v>0</v>
      </c>
      <c r="R138" s="430">
        <f>'Other Measures|Autre Mesures'!I$119/1000</f>
        <v>0</v>
      </c>
      <c r="S138" s="430">
        <f>'Other Measures|Autre Mesures'!J$119/1000</f>
        <v>0</v>
      </c>
      <c r="T138" s="430">
        <f>'Other Measures|Autre Mesures'!K$119/1000</f>
        <v>0</v>
      </c>
      <c r="U138" s="430">
        <f>'Other Measures|Autre Mesures'!L$119/1000</f>
        <v>0</v>
      </c>
      <c r="V138" s="490">
        <f t="shared" si="34"/>
        <v>0</v>
      </c>
      <c r="W138" s="491">
        <f t="shared" si="34"/>
        <v>0</v>
      </c>
      <c r="X138" s="491">
        <f t="shared" si="34"/>
        <v>0</v>
      </c>
      <c r="Y138" s="491">
        <f t="shared" si="33"/>
        <v>0</v>
      </c>
      <c r="Z138" s="491">
        <f t="shared" si="33"/>
        <v>0</v>
      </c>
      <c r="AA138" s="491">
        <f t="shared" si="33"/>
        <v>0</v>
      </c>
      <c r="AB138" s="491">
        <f t="shared" si="33"/>
        <v>0</v>
      </c>
      <c r="AC138" s="492">
        <f t="shared" si="23"/>
        <v>0</v>
      </c>
    </row>
    <row r="139" spans="1:29" x14ac:dyDescent="0.25">
      <c r="A139" s="493" t="str">
        <f t="shared" si="35"/>
        <v>Don't</v>
      </c>
      <c r="B139" s="461" t="str">
        <f>B138</f>
        <v>Other Countries with measures</v>
      </c>
      <c r="D139" t="str">
        <f t="shared" si="36"/>
        <v>IMP</v>
      </c>
      <c r="E139" s="462" t="s">
        <v>613</v>
      </c>
      <c r="F139" s="489">
        <f>'Other Measures|Autre Mesures'!E$123</f>
        <v>0</v>
      </c>
      <c r="G139" s="430">
        <f>'Other Measures|Autre Mesures'!F$123</f>
        <v>0</v>
      </c>
      <c r="H139" s="430">
        <f>'Other Measures|Autre Mesures'!G$123</f>
        <v>0</v>
      </c>
      <c r="I139" s="430">
        <f>'Other Measures|Autre Mesures'!H$123</f>
        <v>0</v>
      </c>
      <c r="J139" s="430">
        <f>'Other Measures|Autre Mesures'!I$123</f>
        <v>0</v>
      </c>
      <c r="K139" s="430">
        <f>'Other Measures|Autre Mesures'!J$123</f>
        <v>0</v>
      </c>
      <c r="L139" s="430">
        <f>'Other Measures|Autre Mesures'!K$123</f>
        <v>0</v>
      </c>
      <c r="M139" s="430">
        <f>'Other Measures|Autre Mesures'!L$123</f>
        <v>0</v>
      </c>
      <c r="N139" s="489">
        <f>'Other Measures|Autre Mesures'!E$124/1000</f>
        <v>0</v>
      </c>
      <c r="O139" s="430">
        <f>'Other Measures|Autre Mesures'!F$124/1000</f>
        <v>0</v>
      </c>
      <c r="P139" s="430">
        <f>'Other Measures|Autre Mesures'!G$124/1000</f>
        <v>0</v>
      </c>
      <c r="Q139" s="430">
        <f>'Other Measures|Autre Mesures'!H$124/1000</f>
        <v>0</v>
      </c>
      <c r="R139" s="430">
        <f>'Other Measures|Autre Mesures'!I$124/1000</f>
        <v>0</v>
      </c>
      <c r="S139" s="430">
        <f>'Other Measures|Autre Mesures'!J$124/1000</f>
        <v>0</v>
      </c>
      <c r="T139" s="430">
        <f>'Other Measures|Autre Mesures'!K$124/1000</f>
        <v>0</v>
      </c>
      <c r="U139" s="430">
        <f>'Other Measures|Autre Mesures'!L$124/1000</f>
        <v>0</v>
      </c>
      <c r="V139" s="490">
        <f t="shared" si="34"/>
        <v>0</v>
      </c>
      <c r="W139" s="491">
        <f t="shared" si="34"/>
        <v>0</v>
      </c>
      <c r="X139" s="491">
        <f t="shared" si="34"/>
        <v>0</v>
      </c>
      <c r="Y139" s="491">
        <f t="shared" si="33"/>
        <v>0</v>
      </c>
      <c r="Z139" s="491">
        <f t="shared" si="33"/>
        <v>0</v>
      </c>
      <c r="AA139" s="491">
        <f t="shared" si="33"/>
        <v>0</v>
      </c>
      <c r="AB139" s="491">
        <f t="shared" si="33"/>
        <v>0</v>
      </c>
      <c r="AC139" s="492">
        <f t="shared" si="23"/>
        <v>0</v>
      </c>
    </row>
    <row r="140" spans="1:29" x14ac:dyDescent="0.25">
      <c r="A140" s="493" t="str">
        <f t="shared" si="35"/>
        <v>Don't</v>
      </c>
      <c r="B140" s="461" t="str">
        <f t="shared" si="35"/>
        <v>Other Countries with measures</v>
      </c>
      <c r="D140" t="str">
        <f t="shared" si="36"/>
        <v>IMP</v>
      </c>
      <c r="E140" s="462" t="s">
        <v>614</v>
      </c>
      <c r="F140" s="489">
        <f>'Other Measures|Autre Mesures'!E$128</f>
        <v>0</v>
      </c>
      <c r="G140" s="430">
        <f>'Other Measures|Autre Mesures'!F$128</f>
        <v>0</v>
      </c>
      <c r="H140" s="430">
        <f>'Other Measures|Autre Mesures'!G$128</f>
        <v>0</v>
      </c>
      <c r="I140" s="430">
        <f>'Other Measures|Autre Mesures'!H$128</f>
        <v>0</v>
      </c>
      <c r="J140" s="430">
        <f>'Other Measures|Autre Mesures'!I$128</f>
        <v>0</v>
      </c>
      <c r="K140" s="430">
        <f>'Other Measures|Autre Mesures'!J$128</f>
        <v>0</v>
      </c>
      <c r="L140" s="430">
        <f>'Other Measures|Autre Mesures'!K$128</f>
        <v>0</v>
      </c>
      <c r="M140" s="430">
        <f>'Other Measures|Autre Mesures'!L$128</f>
        <v>0</v>
      </c>
      <c r="N140" s="489">
        <f>'Other Measures|Autre Mesures'!E$129/1000</f>
        <v>0</v>
      </c>
      <c r="O140" s="430">
        <f>'Other Measures|Autre Mesures'!F$129/1000</f>
        <v>0</v>
      </c>
      <c r="P140" s="430">
        <f>'Other Measures|Autre Mesures'!G$129/1000</f>
        <v>0</v>
      </c>
      <c r="Q140" s="430">
        <f>'Other Measures|Autre Mesures'!H$129/1000</f>
        <v>0</v>
      </c>
      <c r="R140" s="430">
        <f>'Other Measures|Autre Mesures'!I$129/1000</f>
        <v>0</v>
      </c>
      <c r="S140" s="430">
        <f>'Other Measures|Autre Mesures'!J$129/1000</f>
        <v>0</v>
      </c>
      <c r="T140" s="430">
        <f>'Other Measures|Autre Mesures'!K$129/1000</f>
        <v>0</v>
      </c>
      <c r="U140" s="430">
        <f>'Other Measures|Autre Mesures'!L$129/1000</f>
        <v>0</v>
      </c>
      <c r="V140" s="490">
        <f t="shared" si="34"/>
        <v>0</v>
      </c>
      <c r="W140" s="491">
        <f t="shared" si="34"/>
        <v>0</v>
      </c>
      <c r="X140" s="491">
        <f t="shared" si="34"/>
        <v>0</v>
      </c>
      <c r="Y140" s="491">
        <f t="shared" si="33"/>
        <v>0</v>
      </c>
      <c r="Z140" s="491">
        <f t="shared" si="33"/>
        <v>0</v>
      </c>
      <c r="AA140" s="491">
        <f t="shared" si="33"/>
        <v>0</v>
      </c>
      <c r="AB140" s="491">
        <f t="shared" si="33"/>
        <v>0</v>
      </c>
      <c r="AC140" s="492">
        <f t="shared" si="23"/>
        <v>0</v>
      </c>
    </row>
    <row r="141" spans="1:29" x14ac:dyDescent="0.25">
      <c r="A141" s="493" t="str">
        <f t="shared" si="35"/>
        <v>Don't</v>
      </c>
      <c r="B141" s="461" t="str">
        <f t="shared" si="35"/>
        <v>Other Countries with measures</v>
      </c>
      <c r="D141" t="str">
        <f t="shared" si="36"/>
        <v>IMP</v>
      </c>
      <c r="E141" s="462" t="s">
        <v>615</v>
      </c>
      <c r="F141" s="489">
        <f>'Other Measures|Autre Mesures'!E$133</f>
        <v>0</v>
      </c>
      <c r="G141" s="430">
        <f>'Other Measures|Autre Mesures'!F$133</f>
        <v>0</v>
      </c>
      <c r="H141" s="430">
        <f>'Other Measures|Autre Mesures'!G$133</f>
        <v>0</v>
      </c>
      <c r="I141" s="430">
        <f>'Other Measures|Autre Mesures'!H$133</f>
        <v>0</v>
      </c>
      <c r="J141" s="430">
        <f>'Other Measures|Autre Mesures'!I$133</f>
        <v>0</v>
      </c>
      <c r="K141" s="430">
        <f>'Other Measures|Autre Mesures'!J$133</f>
        <v>0</v>
      </c>
      <c r="L141" s="430">
        <f>'Other Measures|Autre Mesures'!K$133</f>
        <v>0</v>
      </c>
      <c r="M141" s="430">
        <f>'Other Measures|Autre Mesures'!L$133</f>
        <v>0</v>
      </c>
      <c r="N141" s="489">
        <f>'Other Measures|Autre Mesures'!E$134/1000</f>
        <v>0</v>
      </c>
      <c r="O141" s="430">
        <f>'Other Measures|Autre Mesures'!F$134/1000</f>
        <v>0</v>
      </c>
      <c r="P141" s="430">
        <f>'Other Measures|Autre Mesures'!G$134/1000</f>
        <v>0</v>
      </c>
      <c r="Q141" s="430">
        <f>'Other Measures|Autre Mesures'!H$134/1000</f>
        <v>0</v>
      </c>
      <c r="R141" s="430">
        <f>'Other Measures|Autre Mesures'!I$134/1000</f>
        <v>0</v>
      </c>
      <c r="S141" s="430">
        <f>'Other Measures|Autre Mesures'!J$134/1000</f>
        <v>0</v>
      </c>
      <c r="T141" s="430">
        <f>'Other Measures|Autre Mesures'!K$134/1000</f>
        <v>0</v>
      </c>
      <c r="U141" s="430">
        <f>'Other Measures|Autre Mesures'!L$134/1000</f>
        <v>0</v>
      </c>
      <c r="V141" s="490">
        <f t="shared" si="34"/>
        <v>0</v>
      </c>
      <c r="W141" s="491">
        <f t="shared" si="34"/>
        <v>0</v>
      </c>
      <c r="X141" s="491">
        <f t="shared" si="34"/>
        <v>0</v>
      </c>
      <c r="Y141" s="491">
        <f t="shared" si="33"/>
        <v>0</v>
      </c>
      <c r="Z141" s="491">
        <f t="shared" si="33"/>
        <v>0</v>
      </c>
      <c r="AA141" s="491">
        <f t="shared" si="33"/>
        <v>0</v>
      </c>
      <c r="AB141" s="491">
        <f t="shared" si="33"/>
        <v>0</v>
      </c>
      <c r="AC141" s="492">
        <f t="shared" si="23"/>
        <v>0</v>
      </c>
    </row>
    <row r="142" spans="1:29" x14ac:dyDescent="0.25">
      <c r="A142" s="493" t="str">
        <f t="shared" si="35"/>
        <v>Don't</v>
      </c>
      <c r="B142" s="461" t="str">
        <f t="shared" si="35"/>
        <v>Other Countries with measures</v>
      </c>
      <c r="D142" t="str">
        <f t="shared" si="36"/>
        <v>IMP</v>
      </c>
      <c r="E142" s="462" t="s">
        <v>616</v>
      </c>
      <c r="F142" s="489">
        <f>'Other Measures|Autre Mesures'!E$138</f>
        <v>0</v>
      </c>
      <c r="G142" s="430">
        <f>'Other Measures|Autre Mesures'!F$138</f>
        <v>0</v>
      </c>
      <c r="H142" s="430">
        <f>'Other Measures|Autre Mesures'!G$138</f>
        <v>0</v>
      </c>
      <c r="I142" s="430">
        <f>'Other Measures|Autre Mesures'!H$138</f>
        <v>0</v>
      </c>
      <c r="J142" s="430">
        <f>'Other Measures|Autre Mesures'!I$138</f>
        <v>0</v>
      </c>
      <c r="K142" s="430">
        <f>'Other Measures|Autre Mesures'!J$138</f>
        <v>0</v>
      </c>
      <c r="L142" s="430">
        <f>'Other Measures|Autre Mesures'!K$138</f>
        <v>0</v>
      </c>
      <c r="M142" s="430">
        <f>'Other Measures|Autre Mesures'!L$138</f>
        <v>0</v>
      </c>
      <c r="N142" s="489">
        <f>'Other Measures|Autre Mesures'!E$139/1000</f>
        <v>0</v>
      </c>
      <c r="O142" s="430">
        <f>'Other Measures|Autre Mesures'!F$139/1000</f>
        <v>0</v>
      </c>
      <c r="P142" s="430">
        <f>'Other Measures|Autre Mesures'!G$139/1000</f>
        <v>0</v>
      </c>
      <c r="Q142" s="430">
        <f>'Other Measures|Autre Mesures'!H$139/1000</f>
        <v>0</v>
      </c>
      <c r="R142" s="430">
        <f>'Other Measures|Autre Mesures'!I$139/1000</f>
        <v>0</v>
      </c>
      <c r="S142" s="430">
        <f>'Other Measures|Autre Mesures'!J$139/1000</f>
        <v>0</v>
      </c>
      <c r="T142" s="430">
        <f>'Other Measures|Autre Mesures'!K$139/1000</f>
        <v>0</v>
      </c>
      <c r="U142" s="430">
        <f>'Other Measures|Autre Mesures'!L$139/1000</f>
        <v>0</v>
      </c>
      <c r="V142" s="490">
        <f t="shared" si="34"/>
        <v>0</v>
      </c>
      <c r="W142" s="491">
        <f t="shared" si="34"/>
        <v>0</v>
      </c>
      <c r="X142" s="491">
        <f t="shared" si="34"/>
        <v>0</v>
      </c>
      <c r="Y142" s="491">
        <f t="shared" si="33"/>
        <v>0</v>
      </c>
      <c r="Z142" s="491">
        <f t="shared" si="33"/>
        <v>0</v>
      </c>
      <c r="AA142" s="491">
        <f t="shared" si="33"/>
        <v>0</v>
      </c>
      <c r="AB142" s="491">
        <f t="shared" si="33"/>
        <v>0</v>
      </c>
      <c r="AC142" s="492">
        <f t="shared" si="23"/>
        <v>0</v>
      </c>
    </row>
    <row r="143" spans="1:29" x14ac:dyDescent="0.25">
      <c r="A143" s="493" t="str">
        <f t="shared" si="35"/>
        <v>Don't</v>
      </c>
      <c r="B143" s="461" t="str">
        <f t="shared" si="35"/>
        <v>Other Countries with measures</v>
      </c>
      <c r="D143" t="str">
        <f t="shared" si="36"/>
        <v>IMP</v>
      </c>
      <c r="E143" s="462" t="s">
        <v>617</v>
      </c>
      <c r="F143" s="489">
        <f>'Other Measures|Autre Mesures'!E$143</f>
        <v>0</v>
      </c>
      <c r="G143" s="430">
        <f>'Other Measures|Autre Mesures'!F$143</f>
        <v>0</v>
      </c>
      <c r="H143" s="430">
        <f>'Other Measures|Autre Mesures'!G$143</f>
        <v>0</v>
      </c>
      <c r="I143" s="430">
        <f>'Other Measures|Autre Mesures'!H$143</f>
        <v>0</v>
      </c>
      <c r="J143" s="430">
        <f>'Other Measures|Autre Mesures'!I$143</f>
        <v>0</v>
      </c>
      <c r="K143" s="430">
        <f>'Other Measures|Autre Mesures'!J$143</f>
        <v>0</v>
      </c>
      <c r="L143" s="430">
        <f>'Other Measures|Autre Mesures'!K$143</f>
        <v>0</v>
      </c>
      <c r="M143" s="430">
        <f>'Other Measures|Autre Mesures'!L$143</f>
        <v>0</v>
      </c>
      <c r="N143" s="489">
        <f>'Other Measures|Autre Mesures'!E$144/1000</f>
        <v>0</v>
      </c>
      <c r="O143" s="430">
        <f>'Other Measures|Autre Mesures'!F$144/1000</f>
        <v>0</v>
      </c>
      <c r="P143" s="430">
        <f>'Other Measures|Autre Mesures'!G$144/1000</f>
        <v>0</v>
      </c>
      <c r="Q143" s="430">
        <f>'Other Measures|Autre Mesures'!H$144/1000</f>
        <v>0</v>
      </c>
      <c r="R143" s="430">
        <f>'Other Measures|Autre Mesures'!I$144/1000</f>
        <v>0</v>
      </c>
      <c r="S143" s="430">
        <f>'Other Measures|Autre Mesures'!J$144/1000</f>
        <v>0</v>
      </c>
      <c r="T143" s="430">
        <f>'Other Measures|Autre Mesures'!K$144/1000</f>
        <v>0</v>
      </c>
      <c r="U143" s="430">
        <f>'Other Measures|Autre Mesures'!L$144/1000</f>
        <v>0</v>
      </c>
      <c r="V143" s="490">
        <f t="shared" si="34"/>
        <v>0</v>
      </c>
      <c r="W143" s="491">
        <f t="shared" si="34"/>
        <v>0</v>
      </c>
      <c r="X143" s="491">
        <f t="shared" si="34"/>
        <v>0</v>
      </c>
      <c r="Y143" s="491">
        <f t="shared" si="33"/>
        <v>0</v>
      </c>
      <c r="Z143" s="491">
        <f t="shared" si="33"/>
        <v>0</v>
      </c>
      <c r="AA143" s="491">
        <f t="shared" si="33"/>
        <v>0</v>
      </c>
      <c r="AB143" s="491">
        <f t="shared" si="33"/>
        <v>0</v>
      </c>
      <c r="AC143" s="492">
        <f t="shared" si="23"/>
        <v>0</v>
      </c>
    </row>
    <row r="144" spans="1:29" x14ac:dyDescent="0.25">
      <c r="A144" s="493" t="str">
        <f t="shared" si="35"/>
        <v>Don't</v>
      </c>
      <c r="B144" s="461" t="str">
        <f t="shared" si="35"/>
        <v>Other Countries with measures</v>
      </c>
      <c r="D144" t="s">
        <v>618</v>
      </c>
      <c r="E144" s="462" t="str">
        <f t="shared" ref="E144:E149" si="37">E134</f>
        <v>BMP 1</v>
      </c>
      <c r="F144" s="489">
        <f>'Other Measures|Autre Mesures'!E$169</f>
        <v>0</v>
      </c>
      <c r="G144" s="430">
        <f>'Other Measures|Autre Mesures'!F$169</f>
        <v>0</v>
      </c>
      <c r="H144" s="430">
        <f>'Other Measures|Autre Mesures'!G$169</f>
        <v>0</v>
      </c>
      <c r="I144" s="430">
        <f>'Other Measures|Autre Mesures'!H$169</f>
        <v>0</v>
      </c>
      <c r="J144" s="430">
        <f>'Other Measures|Autre Mesures'!I$169</f>
        <v>0</v>
      </c>
      <c r="K144" s="430">
        <f>'Other Measures|Autre Mesures'!J$169</f>
        <v>0</v>
      </c>
      <c r="L144" s="430">
        <f>'Other Measures|Autre Mesures'!K$169</f>
        <v>0</v>
      </c>
      <c r="M144" s="430">
        <f>'Other Measures|Autre Mesures'!L$169</f>
        <v>0</v>
      </c>
      <c r="N144" s="489">
        <f>'Other Measures|Autre Mesures'!E$170/1000</f>
        <v>0</v>
      </c>
      <c r="O144" s="430">
        <f>'Other Measures|Autre Mesures'!F$170/1000</f>
        <v>0</v>
      </c>
      <c r="P144" s="430">
        <f>'Other Measures|Autre Mesures'!G$170/1000</f>
        <v>0</v>
      </c>
      <c r="Q144" s="430">
        <f>'Other Measures|Autre Mesures'!H$170/1000</f>
        <v>0</v>
      </c>
      <c r="R144" s="430">
        <f>'Other Measures|Autre Mesures'!I$170/1000</f>
        <v>0</v>
      </c>
      <c r="S144" s="430">
        <f>'Other Measures|Autre Mesures'!J$170/1000</f>
        <v>0</v>
      </c>
      <c r="T144" s="430">
        <f>'Other Measures|Autre Mesures'!K$170/1000</f>
        <v>0</v>
      </c>
      <c r="U144" s="430">
        <f>'Other Measures|Autre Mesures'!L$170/1000</f>
        <v>0</v>
      </c>
      <c r="V144" s="490">
        <f t="shared" si="34"/>
        <v>0</v>
      </c>
      <c r="W144" s="491">
        <f t="shared" si="34"/>
        <v>0</v>
      </c>
      <c r="X144" s="491">
        <f t="shared" si="34"/>
        <v>0</v>
      </c>
      <c r="Y144" s="491">
        <f t="shared" si="33"/>
        <v>0</v>
      </c>
      <c r="Z144" s="491">
        <f t="shared" si="33"/>
        <v>0</v>
      </c>
      <c r="AA144" s="491">
        <f t="shared" si="33"/>
        <v>0</v>
      </c>
      <c r="AB144" s="491">
        <f t="shared" si="33"/>
        <v>0</v>
      </c>
      <c r="AC144" s="492">
        <f t="shared" si="23"/>
        <v>0</v>
      </c>
    </row>
    <row r="145" spans="1:29" x14ac:dyDescent="0.25">
      <c r="A145" s="493" t="str">
        <f t="shared" si="35"/>
        <v>Don't</v>
      </c>
      <c r="B145" s="461" t="str">
        <f>B144</f>
        <v>Other Countries with measures</v>
      </c>
      <c r="D145" t="str">
        <f>D144</f>
        <v>IMP SLS</v>
      </c>
      <c r="E145" s="462" t="str">
        <f t="shared" si="37"/>
        <v>BMP 2</v>
      </c>
      <c r="F145" s="489">
        <f>'Other Measures|Autre Mesures'!E$174</f>
        <v>0</v>
      </c>
      <c r="G145" s="430">
        <f>'Other Measures|Autre Mesures'!F$174</f>
        <v>0</v>
      </c>
      <c r="H145" s="430">
        <f>'Other Measures|Autre Mesures'!G$174</f>
        <v>0</v>
      </c>
      <c r="I145" s="430">
        <f>'Other Measures|Autre Mesures'!H$174</f>
        <v>0</v>
      </c>
      <c r="J145" s="430">
        <f>'Other Measures|Autre Mesures'!I$174</f>
        <v>0</v>
      </c>
      <c r="K145" s="430">
        <f>'Other Measures|Autre Mesures'!J$174</f>
        <v>0</v>
      </c>
      <c r="L145" s="430">
        <f>'Other Measures|Autre Mesures'!K$174</f>
        <v>0</v>
      </c>
      <c r="M145" s="430">
        <f>'Other Measures|Autre Mesures'!L$174</f>
        <v>0</v>
      </c>
      <c r="N145" s="489">
        <f>'Other Measures|Autre Mesures'!E$175/1000</f>
        <v>0</v>
      </c>
      <c r="O145" s="430">
        <f>'Other Measures|Autre Mesures'!F$175/1000</f>
        <v>0</v>
      </c>
      <c r="P145" s="430">
        <f>'Other Measures|Autre Mesures'!G$175/1000</f>
        <v>0</v>
      </c>
      <c r="Q145" s="430">
        <f>'Other Measures|Autre Mesures'!H$175/1000</f>
        <v>0</v>
      </c>
      <c r="R145" s="430">
        <f>'Other Measures|Autre Mesures'!I$175/1000</f>
        <v>0</v>
      </c>
      <c r="S145" s="430">
        <f>'Other Measures|Autre Mesures'!J$175/1000</f>
        <v>0</v>
      </c>
      <c r="T145" s="430">
        <f>'Other Measures|Autre Mesures'!K$175/1000</f>
        <v>0</v>
      </c>
      <c r="U145" s="430">
        <f>'Other Measures|Autre Mesures'!L$175/1000</f>
        <v>0</v>
      </c>
      <c r="V145" s="490">
        <f t="shared" si="34"/>
        <v>0</v>
      </c>
      <c r="W145" s="491">
        <f t="shared" si="34"/>
        <v>0</v>
      </c>
      <c r="X145" s="491">
        <f t="shared" si="34"/>
        <v>0</v>
      </c>
      <c r="Y145" s="491">
        <f t="shared" si="33"/>
        <v>0</v>
      </c>
      <c r="Z145" s="491">
        <f t="shared" si="33"/>
        <v>0</v>
      </c>
      <c r="AA145" s="491">
        <f t="shared" si="33"/>
        <v>0</v>
      </c>
      <c r="AB145" s="491">
        <f t="shared" si="33"/>
        <v>0</v>
      </c>
      <c r="AC145" s="492">
        <f t="shared" si="23"/>
        <v>0</v>
      </c>
    </row>
    <row r="146" spans="1:29" x14ac:dyDescent="0.25">
      <c r="A146" s="493" t="str">
        <f t="shared" si="35"/>
        <v>Don't</v>
      </c>
      <c r="B146" s="461" t="str">
        <f>B145</f>
        <v>Other Countries with measures</v>
      </c>
      <c r="D146" t="str">
        <f t="shared" ref="D146:D153" si="38">D145</f>
        <v>IMP SLS</v>
      </c>
      <c r="E146" s="462" t="str">
        <f t="shared" si="37"/>
        <v>BMP 3</v>
      </c>
      <c r="F146" s="489">
        <f>'Other Measures|Autre Mesures'!E$179</f>
        <v>0</v>
      </c>
      <c r="G146" s="430">
        <f>'Other Measures|Autre Mesures'!F$179</f>
        <v>0</v>
      </c>
      <c r="H146" s="430">
        <f>'Other Measures|Autre Mesures'!G$179</f>
        <v>0</v>
      </c>
      <c r="I146" s="430">
        <f>'Other Measures|Autre Mesures'!H$179</f>
        <v>0</v>
      </c>
      <c r="J146" s="430">
        <f>'Other Measures|Autre Mesures'!I$179</f>
        <v>0</v>
      </c>
      <c r="K146" s="430">
        <f>'Other Measures|Autre Mesures'!J$179</f>
        <v>0</v>
      </c>
      <c r="L146" s="430">
        <f>'Other Measures|Autre Mesures'!K$179</f>
        <v>0</v>
      </c>
      <c r="M146" s="430">
        <f>'Other Measures|Autre Mesures'!L$179</f>
        <v>0</v>
      </c>
      <c r="N146" s="489">
        <f>'Other Measures|Autre Mesures'!E$180/1000</f>
        <v>0</v>
      </c>
      <c r="O146" s="430">
        <f>'Other Measures|Autre Mesures'!F$180/1000</f>
        <v>0</v>
      </c>
      <c r="P146" s="430">
        <f>'Other Measures|Autre Mesures'!G$180/1000</f>
        <v>0</v>
      </c>
      <c r="Q146" s="430">
        <f>'Other Measures|Autre Mesures'!H$180/1000</f>
        <v>0</v>
      </c>
      <c r="R146" s="430">
        <f>'Other Measures|Autre Mesures'!I$180/1000</f>
        <v>0</v>
      </c>
      <c r="S146" s="430">
        <f>'Other Measures|Autre Mesures'!J$180/1000</f>
        <v>0</v>
      </c>
      <c r="T146" s="430">
        <f>'Other Measures|Autre Mesures'!K$180/1000</f>
        <v>0</v>
      </c>
      <c r="U146" s="430">
        <f>'Other Measures|Autre Mesures'!L$180/1000</f>
        <v>0</v>
      </c>
      <c r="V146" s="490">
        <f t="shared" si="34"/>
        <v>0</v>
      </c>
      <c r="W146" s="491">
        <f t="shared" si="34"/>
        <v>0</v>
      </c>
      <c r="X146" s="491">
        <f t="shared" si="34"/>
        <v>0</v>
      </c>
      <c r="Y146" s="491">
        <f t="shared" si="33"/>
        <v>0</v>
      </c>
      <c r="Z146" s="491">
        <f t="shared" si="33"/>
        <v>0</v>
      </c>
      <c r="AA146" s="491">
        <f t="shared" si="33"/>
        <v>0</v>
      </c>
      <c r="AB146" s="491">
        <f t="shared" si="33"/>
        <v>0</v>
      </c>
      <c r="AC146" s="492">
        <f t="shared" si="23"/>
        <v>0</v>
      </c>
    </row>
    <row r="147" spans="1:29" x14ac:dyDescent="0.25">
      <c r="A147" s="493" t="str">
        <f t="shared" si="35"/>
        <v>Don't</v>
      </c>
      <c r="B147" s="461" t="str">
        <f>B146</f>
        <v>Other Countries with measures</v>
      </c>
      <c r="D147" t="str">
        <f t="shared" si="38"/>
        <v>IMP SLS</v>
      </c>
      <c r="E147" s="462" t="str">
        <f t="shared" si="37"/>
        <v>BMP 4</v>
      </c>
      <c r="F147" s="489">
        <f>'Other Measures|Autre Mesures'!E$184</f>
        <v>0</v>
      </c>
      <c r="G147" s="430">
        <f>'Other Measures|Autre Mesures'!F$184</f>
        <v>0</v>
      </c>
      <c r="H147" s="430">
        <f>'Other Measures|Autre Mesures'!G$184</f>
        <v>0</v>
      </c>
      <c r="I147" s="430">
        <f>'Other Measures|Autre Mesures'!H$184</f>
        <v>0</v>
      </c>
      <c r="J147" s="430">
        <f>'Other Measures|Autre Mesures'!I$184</f>
        <v>0</v>
      </c>
      <c r="K147" s="430">
        <f>'Other Measures|Autre Mesures'!J$184</f>
        <v>0</v>
      </c>
      <c r="L147" s="430">
        <f>'Other Measures|Autre Mesures'!K$184</f>
        <v>0</v>
      </c>
      <c r="M147" s="430">
        <f>'Other Measures|Autre Mesures'!L$184</f>
        <v>0</v>
      </c>
      <c r="N147" s="489">
        <f>'Other Measures|Autre Mesures'!E$185/1000</f>
        <v>0</v>
      </c>
      <c r="O147" s="430">
        <f>'Other Measures|Autre Mesures'!F$185/1000</f>
        <v>0</v>
      </c>
      <c r="P147" s="430">
        <f>'Other Measures|Autre Mesures'!G$185/1000</f>
        <v>0</v>
      </c>
      <c r="Q147" s="430">
        <f>'Other Measures|Autre Mesures'!H$185/1000</f>
        <v>0</v>
      </c>
      <c r="R147" s="430">
        <f>'Other Measures|Autre Mesures'!I$185/1000</f>
        <v>0</v>
      </c>
      <c r="S147" s="430">
        <f>'Other Measures|Autre Mesures'!J$185/1000</f>
        <v>0</v>
      </c>
      <c r="T147" s="430">
        <f>'Other Measures|Autre Mesures'!K$185/1000</f>
        <v>0</v>
      </c>
      <c r="U147" s="430">
        <f>'Other Measures|Autre Mesures'!L$185/1000</f>
        <v>0</v>
      </c>
      <c r="V147" s="490">
        <f t="shared" si="34"/>
        <v>0</v>
      </c>
      <c r="W147" s="491">
        <f t="shared" si="34"/>
        <v>0</v>
      </c>
      <c r="X147" s="491">
        <f t="shared" si="34"/>
        <v>0</v>
      </c>
      <c r="Y147" s="491">
        <f t="shared" si="33"/>
        <v>0</v>
      </c>
      <c r="Z147" s="491">
        <f t="shared" si="33"/>
        <v>0</v>
      </c>
      <c r="AA147" s="491">
        <f t="shared" si="33"/>
        <v>0</v>
      </c>
      <c r="AB147" s="491">
        <f t="shared" si="33"/>
        <v>0</v>
      </c>
      <c r="AC147" s="492">
        <f t="shared" si="23"/>
        <v>0</v>
      </c>
    </row>
    <row r="148" spans="1:29" x14ac:dyDescent="0.25">
      <c r="A148" s="493" t="str">
        <f t="shared" si="35"/>
        <v>Don't</v>
      </c>
      <c r="B148" s="461" t="str">
        <f>B147</f>
        <v>Other Countries with measures</v>
      </c>
      <c r="D148" t="str">
        <f t="shared" si="38"/>
        <v>IMP SLS</v>
      </c>
      <c r="E148" s="462" t="str">
        <f t="shared" si="37"/>
        <v>BMP 5</v>
      </c>
      <c r="F148" s="489">
        <f>'Other Measures|Autre Mesures'!E$189</f>
        <v>0</v>
      </c>
      <c r="G148" s="430">
        <f>'Other Measures|Autre Mesures'!F$189</f>
        <v>0</v>
      </c>
      <c r="H148" s="430">
        <f>'Other Measures|Autre Mesures'!G$189</f>
        <v>0</v>
      </c>
      <c r="I148" s="430">
        <f>'Other Measures|Autre Mesures'!H$189</f>
        <v>0</v>
      </c>
      <c r="J148" s="430">
        <f>'Other Measures|Autre Mesures'!I$189</f>
        <v>0</v>
      </c>
      <c r="K148" s="430">
        <f>'Other Measures|Autre Mesures'!J$189</f>
        <v>0</v>
      </c>
      <c r="L148" s="430">
        <f>'Other Measures|Autre Mesures'!K$189</f>
        <v>0</v>
      </c>
      <c r="M148" s="430">
        <f>'Other Measures|Autre Mesures'!L$189</f>
        <v>0</v>
      </c>
      <c r="N148" s="489">
        <f>'Other Measures|Autre Mesures'!E$190/1000</f>
        <v>0</v>
      </c>
      <c r="O148" s="430">
        <f>'Other Measures|Autre Mesures'!F$190/1000</f>
        <v>0</v>
      </c>
      <c r="P148" s="430">
        <f>'Other Measures|Autre Mesures'!G$190/1000</f>
        <v>0</v>
      </c>
      <c r="Q148" s="430">
        <f>'Other Measures|Autre Mesures'!H$190/1000</f>
        <v>0</v>
      </c>
      <c r="R148" s="430">
        <f>'Other Measures|Autre Mesures'!I$190/1000</f>
        <v>0</v>
      </c>
      <c r="S148" s="430">
        <f>'Other Measures|Autre Mesures'!J$190/1000</f>
        <v>0</v>
      </c>
      <c r="T148" s="430">
        <f>'Other Measures|Autre Mesures'!K$190/1000</f>
        <v>0</v>
      </c>
      <c r="U148" s="430">
        <f>'Other Measures|Autre Mesures'!L$190/1000</f>
        <v>0</v>
      </c>
      <c r="V148" s="490">
        <f t="shared" si="34"/>
        <v>0</v>
      </c>
      <c r="W148" s="491">
        <f t="shared" si="34"/>
        <v>0</v>
      </c>
      <c r="X148" s="491">
        <f t="shared" si="34"/>
        <v>0</v>
      </c>
      <c r="Y148" s="491">
        <f t="shared" si="33"/>
        <v>0</v>
      </c>
      <c r="Z148" s="491">
        <f t="shared" si="33"/>
        <v>0</v>
      </c>
      <c r="AA148" s="491">
        <f t="shared" si="33"/>
        <v>0</v>
      </c>
      <c r="AB148" s="491">
        <f t="shared" si="33"/>
        <v>0</v>
      </c>
      <c r="AC148" s="492">
        <f t="shared" si="23"/>
        <v>0</v>
      </c>
    </row>
    <row r="149" spans="1:29" x14ac:dyDescent="0.25">
      <c r="A149" s="493" t="str">
        <f t="shared" si="35"/>
        <v>Don't</v>
      </c>
      <c r="B149" s="461" t="str">
        <f>B148</f>
        <v>Other Countries with measures</v>
      </c>
      <c r="D149" t="str">
        <f t="shared" si="38"/>
        <v>IMP SLS</v>
      </c>
      <c r="E149" s="462" t="str">
        <f t="shared" si="37"/>
        <v>BMP 6</v>
      </c>
      <c r="F149" s="489">
        <f>'Other Measures|Autre Mesures'!E$194</f>
        <v>0</v>
      </c>
      <c r="G149" s="430">
        <f>'Other Measures|Autre Mesures'!F$194</f>
        <v>0</v>
      </c>
      <c r="H149" s="430">
        <f>'Other Measures|Autre Mesures'!G$194</f>
        <v>0</v>
      </c>
      <c r="I149" s="430">
        <f>'Other Measures|Autre Mesures'!H$194</f>
        <v>0</v>
      </c>
      <c r="J149" s="430">
        <f>'Other Measures|Autre Mesures'!I$194</f>
        <v>0</v>
      </c>
      <c r="K149" s="430">
        <f>'Other Measures|Autre Mesures'!J$194</f>
        <v>0</v>
      </c>
      <c r="L149" s="430">
        <f>'Other Measures|Autre Mesures'!K$194</f>
        <v>0</v>
      </c>
      <c r="M149" s="430">
        <f>'Other Measures|Autre Mesures'!L$194</f>
        <v>0</v>
      </c>
      <c r="N149" s="489">
        <f>'Other Measures|Autre Mesures'!E$195/1000</f>
        <v>0</v>
      </c>
      <c r="O149" s="430">
        <f>'Other Measures|Autre Mesures'!F$195/1000</f>
        <v>0</v>
      </c>
      <c r="P149" s="430">
        <f>'Other Measures|Autre Mesures'!G$195/1000</f>
        <v>0</v>
      </c>
      <c r="Q149" s="430">
        <f>'Other Measures|Autre Mesures'!H$195/1000</f>
        <v>0</v>
      </c>
      <c r="R149" s="430">
        <f>'Other Measures|Autre Mesures'!I$195/1000</f>
        <v>0</v>
      </c>
      <c r="S149" s="430">
        <f>'Other Measures|Autre Mesures'!J$195/1000</f>
        <v>0</v>
      </c>
      <c r="T149" s="430">
        <f>'Other Measures|Autre Mesures'!K$195/1000</f>
        <v>0</v>
      </c>
      <c r="U149" s="430">
        <f>'Other Measures|Autre Mesures'!L$195/1000</f>
        <v>0</v>
      </c>
      <c r="V149" s="490">
        <f t="shared" si="34"/>
        <v>0</v>
      </c>
      <c r="W149" s="491">
        <f t="shared" si="34"/>
        <v>0</v>
      </c>
      <c r="X149" s="491">
        <f t="shared" si="34"/>
        <v>0</v>
      </c>
      <c r="Y149" s="491">
        <f t="shared" si="33"/>
        <v>0</v>
      </c>
      <c r="Z149" s="491">
        <f t="shared" si="33"/>
        <v>0</v>
      </c>
      <c r="AA149" s="491">
        <f t="shared" si="33"/>
        <v>0</v>
      </c>
      <c r="AB149" s="491">
        <f t="shared" si="33"/>
        <v>0</v>
      </c>
      <c r="AC149" s="492">
        <f t="shared" si="23"/>
        <v>0</v>
      </c>
    </row>
    <row r="150" spans="1:29" x14ac:dyDescent="0.25">
      <c r="A150" s="493" t="str">
        <f t="shared" si="35"/>
        <v>Don't</v>
      </c>
      <c r="B150" s="461" t="str">
        <f t="shared" si="35"/>
        <v>Other Countries with measures</v>
      </c>
      <c r="D150" t="str">
        <f t="shared" si="38"/>
        <v>IMP SLS</v>
      </c>
      <c r="E150" s="462" t="str">
        <f t="shared" ref="E150:E153" si="39">E140</f>
        <v>BMP 7</v>
      </c>
      <c r="F150" s="489">
        <f>'Other Measures|Autre Mesures'!E$199</f>
        <v>0</v>
      </c>
      <c r="G150" s="430">
        <f>'Other Measures|Autre Mesures'!F$199</f>
        <v>0</v>
      </c>
      <c r="H150" s="430">
        <f>'Other Measures|Autre Mesures'!G$199</f>
        <v>0</v>
      </c>
      <c r="I150" s="430">
        <f>'Other Measures|Autre Mesures'!H$199</f>
        <v>0</v>
      </c>
      <c r="J150" s="430">
        <f>'Other Measures|Autre Mesures'!I$199</f>
        <v>0</v>
      </c>
      <c r="K150" s="430">
        <f>'Other Measures|Autre Mesures'!J$199</f>
        <v>0</v>
      </c>
      <c r="L150" s="430">
        <f>'Other Measures|Autre Mesures'!K$199</f>
        <v>0</v>
      </c>
      <c r="M150" s="430">
        <f>'Other Measures|Autre Mesures'!L$199</f>
        <v>0</v>
      </c>
      <c r="N150" s="489">
        <f>'Other Measures|Autre Mesures'!E$200/1000</f>
        <v>0</v>
      </c>
      <c r="O150" s="430">
        <f>'Other Measures|Autre Mesures'!F$200/1000</f>
        <v>0</v>
      </c>
      <c r="P150" s="430">
        <f>'Other Measures|Autre Mesures'!G$200/1000</f>
        <v>0</v>
      </c>
      <c r="Q150" s="430">
        <f>'Other Measures|Autre Mesures'!H$200/1000</f>
        <v>0</v>
      </c>
      <c r="R150" s="430">
        <f>'Other Measures|Autre Mesures'!I$200/1000</f>
        <v>0</v>
      </c>
      <c r="S150" s="430">
        <f>'Other Measures|Autre Mesures'!J$200/1000</f>
        <v>0</v>
      </c>
      <c r="T150" s="430">
        <f>'Other Measures|Autre Mesures'!K$200/1000</f>
        <v>0</v>
      </c>
      <c r="U150" s="430">
        <f>'Other Measures|Autre Mesures'!L$200/1000</f>
        <v>0</v>
      </c>
      <c r="V150" s="490">
        <f t="shared" si="34"/>
        <v>0</v>
      </c>
      <c r="W150" s="491">
        <f t="shared" si="34"/>
        <v>0</v>
      </c>
      <c r="X150" s="491">
        <f t="shared" si="34"/>
        <v>0</v>
      </c>
      <c r="Y150" s="491">
        <f t="shared" si="33"/>
        <v>0</v>
      </c>
      <c r="Z150" s="491">
        <f t="shared" si="33"/>
        <v>0</v>
      </c>
      <c r="AA150" s="491">
        <f t="shared" si="33"/>
        <v>0</v>
      </c>
      <c r="AB150" s="491">
        <f t="shared" si="33"/>
        <v>0</v>
      </c>
      <c r="AC150" s="492">
        <f t="shared" si="23"/>
        <v>0</v>
      </c>
    </row>
    <row r="151" spans="1:29" x14ac:dyDescent="0.25">
      <c r="A151" s="493" t="str">
        <f t="shared" si="35"/>
        <v>Don't</v>
      </c>
      <c r="B151" s="461" t="str">
        <f t="shared" si="35"/>
        <v>Other Countries with measures</v>
      </c>
      <c r="D151" t="str">
        <f t="shared" si="38"/>
        <v>IMP SLS</v>
      </c>
      <c r="E151" s="462" t="str">
        <f t="shared" si="39"/>
        <v>BMP 8</v>
      </c>
      <c r="F151" s="489">
        <f>'Other Measures|Autre Mesures'!E$204</f>
        <v>0</v>
      </c>
      <c r="G151" s="430">
        <f>'Other Measures|Autre Mesures'!F$204</f>
        <v>0</v>
      </c>
      <c r="H151" s="430">
        <f>'Other Measures|Autre Mesures'!G$204</f>
        <v>0</v>
      </c>
      <c r="I151" s="430">
        <f>'Other Measures|Autre Mesures'!H$204</f>
        <v>0</v>
      </c>
      <c r="J151" s="430">
        <f>'Other Measures|Autre Mesures'!I$204</f>
        <v>0</v>
      </c>
      <c r="K151" s="430">
        <f>'Other Measures|Autre Mesures'!J$204</f>
        <v>0</v>
      </c>
      <c r="L151" s="430">
        <f>'Other Measures|Autre Mesures'!K$204</f>
        <v>0</v>
      </c>
      <c r="M151" s="430">
        <f>'Other Measures|Autre Mesures'!L$204</f>
        <v>0</v>
      </c>
      <c r="N151" s="489">
        <f>'Other Measures|Autre Mesures'!E$205/1000</f>
        <v>0</v>
      </c>
      <c r="O151" s="430">
        <f>'Other Measures|Autre Mesures'!F$205/1000</f>
        <v>0</v>
      </c>
      <c r="P151" s="430">
        <f>'Other Measures|Autre Mesures'!G$205/1000</f>
        <v>0</v>
      </c>
      <c r="Q151" s="430">
        <f>'Other Measures|Autre Mesures'!H$205/1000</f>
        <v>0</v>
      </c>
      <c r="R151" s="430">
        <f>'Other Measures|Autre Mesures'!I$205/1000</f>
        <v>0</v>
      </c>
      <c r="S151" s="430">
        <f>'Other Measures|Autre Mesures'!J$205/1000</f>
        <v>0</v>
      </c>
      <c r="T151" s="430">
        <f>'Other Measures|Autre Mesures'!K$205/1000</f>
        <v>0</v>
      </c>
      <c r="U151" s="430">
        <f>'Other Measures|Autre Mesures'!L$205/1000</f>
        <v>0</v>
      </c>
      <c r="V151" s="490">
        <f t="shared" si="34"/>
        <v>0</v>
      </c>
      <c r="W151" s="491">
        <f t="shared" si="34"/>
        <v>0</v>
      </c>
      <c r="X151" s="491">
        <f t="shared" si="34"/>
        <v>0</v>
      </c>
      <c r="Y151" s="491">
        <f t="shared" si="33"/>
        <v>0</v>
      </c>
      <c r="Z151" s="491">
        <f t="shared" si="33"/>
        <v>0</v>
      </c>
      <c r="AA151" s="491">
        <f t="shared" si="33"/>
        <v>0</v>
      </c>
      <c r="AB151" s="491">
        <f t="shared" si="33"/>
        <v>0</v>
      </c>
      <c r="AC151" s="492">
        <f t="shared" si="23"/>
        <v>0</v>
      </c>
    </row>
    <row r="152" spans="1:29" x14ac:dyDescent="0.25">
      <c r="A152" s="493" t="str">
        <f t="shared" si="35"/>
        <v>Don't</v>
      </c>
      <c r="B152" s="461" t="str">
        <f t="shared" si="35"/>
        <v>Other Countries with measures</v>
      </c>
      <c r="D152" t="str">
        <f t="shared" si="38"/>
        <v>IMP SLS</v>
      </c>
      <c r="E152" s="462" t="str">
        <f t="shared" si="39"/>
        <v>BMP 9</v>
      </c>
      <c r="F152" s="489">
        <f>'Other Measures|Autre Mesures'!E$209</f>
        <v>0</v>
      </c>
      <c r="G152" s="430">
        <f>'Other Measures|Autre Mesures'!F$209</f>
        <v>0</v>
      </c>
      <c r="H152" s="430">
        <f>'Other Measures|Autre Mesures'!G$209</f>
        <v>0</v>
      </c>
      <c r="I152" s="430">
        <f>'Other Measures|Autre Mesures'!H$209</f>
        <v>0</v>
      </c>
      <c r="J152" s="430">
        <f>'Other Measures|Autre Mesures'!I$209</f>
        <v>0</v>
      </c>
      <c r="K152" s="430">
        <f>'Other Measures|Autre Mesures'!J$209</f>
        <v>0</v>
      </c>
      <c r="L152" s="430">
        <f>'Other Measures|Autre Mesures'!K$209</f>
        <v>0</v>
      </c>
      <c r="M152" s="430">
        <f>'Other Measures|Autre Mesures'!L$209</f>
        <v>0</v>
      </c>
      <c r="N152" s="489">
        <f>'Other Measures|Autre Mesures'!E$210/1000</f>
        <v>0</v>
      </c>
      <c r="O152" s="430">
        <f>'Other Measures|Autre Mesures'!F$210/1000</f>
        <v>0</v>
      </c>
      <c r="P152" s="430">
        <f>'Other Measures|Autre Mesures'!G$210/1000</f>
        <v>0</v>
      </c>
      <c r="Q152" s="430">
        <f>'Other Measures|Autre Mesures'!H$210/1000</f>
        <v>0</v>
      </c>
      <c r="R152" s="430">
        <f>'Other Measures|Autre Mesures'!I$210/1000</f>
        <v>0</v>
      </c>
      <c r="S152" s="430">
        <f>'Other Measures|Autre Mesures'!J$210/1000</f>
        <v>0</v>
      </c>
      <c r="T152" s="430">
        <f>'Other Measures|Autre Mesures'!K$210/1000</f>
        <v>0</v>
      </c>
      <c r="U152" s="430">
        <f>'Other Measures|Autre Mesures'!L$210/1000</f>
        <v>0</v>
      </c>
      <c r="V152" s="490">
        <f t="shared" si="34"/>
        <v>0</v>
      </c>
      <c r="W152" s="491">
        <f t="shared" si="34"/>
        <v>0</v>
      </c>
      <c r="X152" s="491">
        <f t="shared" si="34"/>
        <v>0</v>
      </c>
      <c r="Y152" s="491">
        <f t="shared" si="33"/>
        <v>0</v>
      </c>
      <c r="Z152" s="491">
        <f t="shared" si="33"/>
        <v>0</v>
      </c>
      <c r="AA152" s="491">
        <f t="shared" si="33"/>
        <v>0</v>
      </c>
      <c r="AB152" s="491">
        <f t="shared" si="33"/>
        <v>0</v>
      </c>
      <c r="AC152" s="492">
        <f t="shared" si="23"/>
        <v>0</v>
      </c>
    </row>
    <row r="153" spans="1:29" x14ac:dyDescent="0.25">
      <c r="A153" s="493" t="str">
        <f t="shared" si="35"/>
        <v>Don't</v>
      </c>
      <c r="B153" s="461" t="str">
        <f t="shared" si="35"/>
        <v>Other Countries with measures</v>
      </c>
      <c r="D153" t="str">
        <f t="shared" si="38"/>
        <v>IMP SLS</v>
      </c>
      <c r="E153" s="462" t="str">
        <f t="shared" si="39"/>
        <v>BMP 10</v>
      </c>
      <c r="F153" s="489">
        <f>'Other Measures|Autre Mesures'!E$214</f>
        <v>0</v>
      </c>
      <c r="G153" s="430">
        <f>'Other Measures|Autre Mesures'!F$214</f>
        <v>0</v>
      </c>
      <c r="H153" s="430">
        <f>'Other Measures|Autre Mesures'!G$214</f>
        <v>0</v>
      </c>
      <c r="I153" s="430">
        <f>'Other Measures|Autre Mesures'!H$214</f>
        <v>0</v>
      </c>
      <c r="J153" s="430">
        <f>'Other Measures|Autre Mesures'!I$214</f>
        <v>0</v>
      </c>
      <c r="K153" s="430">
        <f>'Other Measures|Autre Mesures'!J$214</f>
        <v>0</v>
      </c>
      <c r="L153" s="430">
        <f>'Other Measures|Autre Mesures'!K$214</f>
        <v>0</v>
      </c>
      <c r="M153" s="430">
        <f>'Other Measures|Autre Mesures'!L$214</f>
        <v>0</v>
      </c>
      <c r="N153" s="489">
        <f>'Other Measures|Autre Mesures'!E$215/1000</f>
        <v>0</v>
      </c>
      <c r="O153" s="430">
        <f>'Other Measures|Autre Mesures'!F$215/1000</f>
        <v>0</v>
      </c>
      <c r="P153" s="430">
        <f>'Other Measures|Autre Mesures'!G$215/1000</f>
        <v>0</v>
      </c>
      <c r="Q153" s="430">
        <f>'Other Measures|Autre Mesures'!H$215/1000</f>
        <v>0</v>
      </c>
      <c r="R153" s="430">
        <f>'Other Measures|Autre Mesures'!I$215/1000</f>
        <v>0</v>
      </c>
      <c r="S153" s="430">
        <f>'Other Measures|Autre Mesures'!J$215/1000</f>
        <v>0</v>
      </c>
      <c r="T153" s="430">
        <f>'Other Measures|Autre Mesures'!K$215/1000</f>
        <v>0</v>
      </c>
      <c r="U153" s="430">
        <f>'Other Measures|Autre Mesures'!L$215/1000</f>
        <v>0</v>
      </c>
      <c r="V153" s="490">
        <f t="shared" si="34"/>
        <v>0</v>
      </c>
      <c r="W153" s="491">
        <f t="shared" si="34"/>
        <v>0</v>
      </c>
      <c r="X153" s="491">
        <f t="shared" si="34"/>
        <v>0</v>
      </c>
      <c r="Y153" s="491">
        <f t="shared" si="33"/>
        <v>0</v>
      </c>
      <c r="Z153" s="491">
        <f t="shared" si="33"/>
        <v>0</v>
      </c>
      <c r="AA153" s="491">
        <f t="shared" si="33"/>
        <v>0</v>
      </c>
      <c r="AB153" s="491">
        <f t="shared" si="33"/>
        <v>0</v>
      </c>
      <c r="AC153" s="492">
        <f t="shared" si="23"/>
        <v>0</v>
      </c>
    </row>
    <row r="154" spans="1:29" x14ac:dyDescent="0.25">
      <c r="E154" s="461" t="s">
        <v>598</v>
      </c>
      <c r="F154" s="469">
        <f>SUMIF($D$14:$D$153,$D$14,F$14:F$153)</f>
        <v>0</v>
      </c>
      <c r="G154" s="469">
        <f t="shared" ref="G154:U154" si="40">SUMIF($D$14:$D$153,$D$14,G$14:G$153)</f>
        <v>0</v>
      </c>
      <c r="H154" s="469">
        <f t="shared" si="40"/>
        <v>0</v>
      </c>
      <c r="I154" s="469">
        <f t="shared" si="40"/>
        <v>0</v>
      </c>
      <c r="J154" s="469">
        <f t="shared" si="40"/>
        <v>0</v>
      </c>
      <c r="K154" s="469">
        <f t="shared" si="40"/>
        <v>0</v>
      </c>
      <c r="L154" s="469">
        <f t="shared" si="40"/>
        <v>0</v>
      </c>
      <c r="M154" s="469">
        <f t="shared" si="40"/>
        <v>0</v>
      </c>
      <c r="N154" s="469">
        <f t="shared" si="40"/>
        <v>0</v>
      </c>
      <c r="O154" s="469">
        <f t="shared" si="40"/>
        <v>0</v>
      </c>
      <c r="P154" s="469">
        <f t="shared" si="40"/>
        <v>0</v>
      </c>
      <c r="Q154" s="469">
        <f t="shared" si="40"/>
        <v>0</v>
      </c>
      <c r="R154" s="469">
        <f t="shared" si="40"/>
        <v>0</v>
      </c>
      <c r="S154" s="469">
        <f t="shared" si="40"/>
        <v>0</v>
      </c>
      <c r="T154" s="469">
        <f t="shared" si="40"/>
        <v>0</v>
      </c>
      <c r="U154" s="470">
        <f t="shared" si="40"/>
        <v>0</v>
      </c>
    </row>
    <row r="155" spans="1:29" x14ac:dyDescent="0.25">
      <c r="E155" s="461"/>
      <c r="F155" s="469">
        <f>SUMIF($D$14:$D$153,$D$24,F$14:F$153)</f>
        <v>0</v>
      </c>
      <c r="G155" s="469">
        <f t="shared" ref="G155:U155" si="41">SUMIF($D$14:$D$153,$D$24,G$14:G$153)</f>
        <v>0</v>
      </c>
      <c r="H155" s="469">
        <f t="shared" si="41"/>
        <v>0</v>
      </c>
      <c r="I155" s="469">
        <f t="shared" si="41"/>
        <v>0</v>
      </c>
      <c r="J155" s="469">
        <f t="shared" si="41"/>
        <v>0</v>
      </c>
      <c r="K155" s="469">
        <f t="shared" si="41"/>
        <v>0</v>
      </c>
      <c r="L155" s="469">
        <f t="shared" si="41"/>
        <v>0</v>
      </c>
      <c r="M155" s="469">
        <f t="shared" si="41"/>
        <v>0</v>
      </c>
      <c r="N155" s="469">
        <f t="shared" si="41"/>
        <v>0</v>
      </c>
      <c r="O155" s="469">
        <f t="shared" si="41"/>
        <v>0</v>
      </c>
      <c r="P155" s="469">
        <f t="shared" si="41"/>
        <v>0</v>
      </c>
      <c r="Q155" s="469">
        <f t="shared" si="41"/>
        <v>0</v>
      </c>
      <c r="R155" s="469">
        <f t="shared" si="41"/>
        <v>0</v>
      </c>
      <c r="S155" s="469">
        <f t="shared" si="41"/>
        <v>0</v>
      </c>
      <c r="T155" s="469">
        <f t="shared" si="41"/>
        <v>0</v>
      </c>
      <c r="U155" s="470">
        <f t="shared" si="41"/>
        <v>0</v>
      </c>
    </row>
    <row r="156" spans="1:29" x14ac:dyDescent="0.25">
      <c r="E156" s="461"/>
      <c r="F156" s="469">
        <f>SUM('Begin:End2'!E$98,'Begin:End2'!E$103,'Begin:End2'!E$108,'Begin:End2'!E$113,'Begin:End2'!E$118,'Begin:End2'!E$123,'Begin:End2'!E$128,'Begin:End2'!E$133,'Begin:End2'!E$138,'Begin:End2'!E$143)</f>
        <v>0</v>
      </c>
      <c r="G156" s="469">
        <f>SUM('Begin:End2'!F$98,'Begin:End2'!F$103,'Begin:End2'!F$108,'Begin:End2'!F$113,'Begin:End2'!F$118,'Begin:End2'!F$123,'Begin:End2'!F$128,'Begin:End2'!F$133,'Begin:End2'!F$138,'Begin:End2'!F$143)</f>
        <v>0</v>
      </c>
      <c r="H156" s="469">
        <f>SUM('Begin:End2'!G$98,'Begin:End2'!G$103,'Begin:End2'!G$108,'Begin:End2'!G$113,'Begin:End2'!G$118,'Begin:End2'!G$123,'Begin:End2'!G$128,'Begin:End2'!G$133,'Begin:End2'!G$138,'Begin:End2'!G$143)</f>
        <v>0</v>
      </c>
      <c r="I156" s="469">
        <f>SUM('Begin:End2'!H$98,'Begin:End2'!H$103,'Begin:End2'!H$108,'Begin:End2'!H$113,'Begin:End2'!H$118,'Begin:End2'!H$123,'Begin:End2'!H$128,'Begin:End2'!H$133,'Begin:End2'!H$138,'Begin:End2'!H$143)</f>
        <v>0</v>
      </c>
      <c r="J156" s="469">
        <f>SUM('Begin:End2'!I$98,'Begin:End2'!I$103,'Begin:End2'!I$108,'Begin:End2'!I$113,'Begin:End2'!I$118,'Begin:End2'!I$123,'Begin:End2'!I$128,'Begin:End2'!I$133,'Begin:End2'!I$138,'Begin:End2'!I$143)</f>
        <v>0</v>
      </c>
      <c r="K156" s="469">
        <f>SUM('Begin:End2'!J$98,'Begin:End2'!J$103,'Begin:End2'!J$108,'Begin:End2'!J$113,'Begin:End2'!J$118,'Begin:End2'!J$123,'Begin:End2'!J$128,'Begin:End2'!J$133,'Begin:End2'!J$138,'Begin:End2'!J$143)</f>
        <v>0</v>
      </c>
      <c r="L156" s="469">
        <f>SUM('Begin:End2'!K$98,'Begin:End2'!K$103,'Begin:End2'!K$108,'Begin:End2'!K$113,'Begin:End2'!K$118,'Begin:End2'!K$123,'Begin:End2'!K$128,'Begin:End2'!K$133,'Begin:End2'!K$138,'Begin:End2'!K$143)</f>
        <v>0</v>
      </c>
      <c r="M156" s="469">
        <f>SUM('Begin:End2'!L$98,'Begin:End2'!L$103,'Begin:End2'!L$108,'Begin:End2'!L$113,'Begin:End2'!L$118,'Begin:End2'!L$123,'Begin:End2'!L$128,'Begin:End2'!L$133,'Begin:End2'!L$138,'Begin:End2'!L$143)</f>
        <v>0</v>
      </c>
      <c r="N156" s="469">
        <f>SUM('Begin:End2'!E$99,'Begin:End2'!E$104,'Begin:End2'!E$109,'Begin:End2'!E$114,'Begin:End2'!E$119,'Begin:End2'!E$124,'Begin:End2'!E$129,'Begin:End2'!E$134,'Begin:End2'!E$139,'Begin:End2'!E$144)/1000</f>
        <v>0</v>
      </c>
      <c r="O156" s="469">
        <f>SUM('Begin:End2'!F$99,'Begin:End2'!F$104,'Begin:End2'!F$109,'Begin:End2'!F$114,'Begin:End2'!F$119,'Begin:End2'!F$124,'Begin:End2'!F$129,'Begin:End2'!F$134,'Begin:End2'!F$139,'Begin:End2'!F$144)/1000</f>
        <v>0</v>
      </c>
      <c r="P156" s="469">
        <f>SUM('Begin:End2'!G$99,'Begin:End2'!G$104,'Begin:End2'!G$109,'Begin:End2'!G$114,'Begin:End2'!G$119,'Begin:End2'!G$124,'Begin:End2'!G$129,'Begin:End2'!G$134,'Begin:End2'!G$139,'Begin:End2'!G$144)/1000</f>
        <v>0</v>
      </c>
      <c r="Q156" s="469">
        <f>SUM('Begin:End2'!H$99,'Begin:End2'!H$104,'Begin:End2'!H$109,'Begin:End2'!H$114,'Begin:End2'!H$119,'Begin:End2'!H$124,'Begin:End2'!H$129,'Begin:End2'!H$134,'Begin:End2'!H$139,'Begin:End2'!H$144)/1000</f>
        <v>0</v>
      </c>
      <c r="R156" s="469">
        <f>SUM('Begin:End2'!I$99,'Begin:End2'!I$104,'Begin:End2'!I$109,'Begin:End2'!I$114,'Begin:End2'!I$119,'Begin:End2'!I$124,'Begin:End2'!I$129,'Begin:End2'!I$134,'Begin:End2'!I$139,'Begin:End2'!I$144)/1000</f>
        <v>0</v>
      </c>
      <c r="S156" s="469">
        <f>SUM('Begin:End2'!J$99,'Begin:End2'!J$104,'Begin:End2'!J$109,'Begin:End2'!J$114,'Begin:End2'!J$119,'Begin:End2'!J$124,'Begin:End2'!J$129,'Begin:End2'!J$134,'Begin:End2'!J$139,'Begin:End2'!J$144)/1000</f>
        <v>0</v>
      </c>
      <c r="T156" s="469">
        <f>SUM('Begin:End2'!K$99,'Begin:End2'!K$104,'Begin:End2'!K$109,'Begin:End2'!K$114,'Begin:End2'!K$119,'Begin:End2'!K$124,'Begin:End2'!K$129,'Begin:End2'!K$134,'Begin:End2'!K$139,'Begin:End2'!K$144)/1000</f>
        <v>0</v>
      </c>
      <c r="U156" s="470">
        <f>SUM('Begin:End2'!L$99,'Begin:End2'!L$104,'Begin:End2'!L$109,'Begin:End2'!L$114,'Begin:End2'!L$119,'Begin:End2'!L$124,'Begin:End2'!L$129,'Begin:End2'!L$134,'Begin:End2'!L$139,'Begin:End2'!L$144)/1000</f>
        <v>0</v>
      </c>
    </row>
    <row r="157" spans="1:29" x14ac:dyDescent="0.25">
      <c r="E157" s="461"/>
      <c r="F157" s="469">
        <f>SUM('Begin:End2'!E$169,'Begin:End2'!E$174,'Begin:End2'!E$179,'Begin:End2'!E$184,'Begin:End2'!E$189,'Begin:End2'!E$194,'Begin:End2'!E$199,'Begin:End2'!E$204,'Begin:End2'!E$209,'Begin:End2'!E$214)</f>
        <v>0</v>
      </c>
      <c r="G157" s="469">
        <f>SUM('Begin:End2'!F$169,'Begin:End2'!F$174,'Begin:End2'!F$179,'Begin:End2'!F$184,'Begin:End2'!F$189,'Begin:End2'!F$194,'Begin:End2'!F$199,'Begin:End2'!F$204,'Begin:End2'!F$209,'Begin:End2'!F$214)</f>
        <v>0</v>
      </c>
      <c r="H157" s="469">
        <f>SUM('Begin:End2'!G$169,'Begin:End2'!G$174,'Begin:End2'!G$179,'Begin:End2'!G$184,'Begin:End2'!G$189,'Begin:End2'!G$194,'Begin:End2'!G$199,'Begin:End2'!G$204,'Begin:End2'!G$209,'Begin:End2'!G$214)</f>
        <v>0</v>
      </c>
      <c r="I157" s="469">
        <f>SUM('Begin:End2'!H$169,'Begin:End2'!H$174,'Begin:End2'!H$179,'Begin:End2'!H$184,'Begin:End2'!H$189,'Begin:End2'!H$194,'Begin:End2'!H$199,'Begin:End2'!H$204,'Begin:End2'!H$209,'Begin:End2'!H$214)</f>
        <v>0</v>
      </c>
      <c r="J157" s="469">
        <f>SUM('Begin:End2'!I$169,'Begin:End2'!I$174,'Begin:End2'!I$179,'Begin:End2'!I$184,'Begin:End2'!I$189,'Begin:End2'!I$194,'Begin:End2'!I$199,'Begin:End2'!I$204,'Begin:End2'!I$209,'Begin:End2'!I$214)</f>
        <v>0</v>
      </c>
      <c r="K157" s="469">
        <f>SUM('Begin:End2'!J$169,'Begin:End2'!J$174,'Begin:End2'!J$179,'Begin:End2'!J$184,'Begin:End2'!J$189,'Begin:End2'!J$194,'Begin:End2'!J$199,'Begin:End2'!J$204,'Begin:End2'!J$209,'Begin:End2'!J$214)</f>
        <v>0</v>
      </c>
      <c r="L157" s="469">
        <f>SUM('Begin:End2'!K$169,'Begin:End2'!K$174,'Begin:End2'!K$179,'Begin:End2'!K$184,'Begin:End2'!K$189,'Begin:End2'!K$194,'Begin:End2'!K$199,'Begin:End2'!K$204,'Begin:End2'!K$209,'Begin:End2'!K$214)</f>
        <v>0</v>
      </c>
      <c r="M157" s="469">
        <f>SUM('Begin:End2'!L$169,'Begin:End2'!L$174,'Begin:End2'!L$179,'Begin:End2'!L$184,'Begin:End2'!L$189,'Begin:End2'!L$194,'Begin:End2'!L$199,'Begin:End2'!L$204,'Begin:End2'!L$209,'Begin:End2'!L$214)</f>
        <v>0</v>
      </c>
      <c r="N157" s="469">
        <f>SUM('Begin:End2'!E$170,'Begin:End2'!E$175,'Begin:End2'!E$180,'Begin:End2'!E$185,'Begin:End2'!E$190,'Begin:End2'!E$195,'Begin:End2'!E$200,'Begin:End2'!E$205,'Begin:End2'!E$210,'Begin:End2'!E$215)/1000</f>
        <v>0</v>
      </c>
      <c r="O157" s="469">
        <f>SUM('Begin:End2'!F$170,'Begin:End2'!F$175,'Begin:End2'!F$180,'Begin:End2'!F$185,'Begin:End2'!F$190,'Begin:End2'!F$195,'Begin:End2'!F$200,'Begin:End2'!F$205,'Begin:End2'!F$210,'Begin:End2'!F$215)/1000</f>
        <v>0</v>
      </c>
      <c r="P157" s="469">
        <f>SUM('Begin:End2'!G$170,'Begin:End2'!G$175,'Begin:End2'!G$180,'Begin:End2'!G$185,'Begin:End2'!G$190,'Begin:End2'!G$195,'Begin:End2'!G$200,'Begin:End2'!G$205,'Begin:End2'!G$210,'Begin:End2'!G$215)/1000</f>
        <v>0</v>
      </c>
      <c r="Q157" s="469">
        <f>SUM('Begin:End2'!H$170,'Begin:End2'!H$175,'Begin:End2'!H$180,'Begin:End2'!H$185,'Begin:End2'!H$190,'Begin:End2'!H$195,'Begin:End2'!H$200,'Begin:End2'!H$205,'Begin:End2'!H$210,'Begin:End2'!H$215)/1000</f>
        <v>0</v>
      </c>
      <c r="R157" s="469">
        <f>SUM('Begin:End2'!I$170,'Begin:End2'!I$175,'Begin:End2'!I$180,'Begin:End2'!I$185,'Begin:End2'!I$190,'Begin:End2'!I$195,'Begin:End2'!I$200,'Begin:End2'!I$205,'Begin:End2'!I$210,'Begin:End2'!I$215)/1000</f>
        <v>0</v>
      </c>
      <c r="S157" s="469">
        <f>SUM('Begin:End2'!J$170,'Begin:End2'!J$175,'Begin:End2'!J$180,'Begin:End2'!J$185,'Begin:End2'!J$190,'Begin:End2'!J$195,'Begin:End2'!J$200,'Begin:End2'!J$205,'Begin:End2'!J$210,'Begin:End2'!J$215)/1000</f>
        <v>0</v>
      </c>
      <c r="T157" s="469">
        <f>SUM('Begin:End2'!K$170,'Begin:End2'!K$175,'Begin:End2'!K$180,'Begin:End2'!K$185,'Begin:End2'!K$190,'Begin:End2'!K$195,'Begin:End2'!K$200,'Begin:End2'!K$205,'Begin:End2'!K$210,'Begin:End2'!K$215)/1000</f>
        <v>0</v>
      </c>
      <c r="U157" s="470">
        <f>SUM('Begin:End2'!L$170,'Begin:End2'!L$175,'Begin:End2'!L$180,'Begin:End2'!L$185,'Begin:End2'!L$190,'Begin:End2'!L$195,'Begin:End2'!L$200,'Begin:End2'!L$205,'Begin:End2'!L$210,'Begin:End2'!L$215)/1000</f>
        <v>0</v>
      </c>
    </row>
    <row r="158" spans="1:29" ht="15.75" thickBot="1" x14ac:dyDescent="0.3">
      <c r="E158" s="463"/>
      <c r="F158" s="452" t="b">
        <f>SUM(F154:F155)=SUM(F156:F157)</f>
        <v>1</v>
      </c>
      <c r="G158" s="452" t="b">
        <f t="shared" ref="G158:M158" si="42">SUM(G154:G155)=SUM(G156:G157)</f>
        <v>1</v>
      </c>
      <c r="H158" s="452" t="b">
        <f t="shared" si="42"/>
        <v>1</v>
      </c>
      <c r="I158" s="452" t="b">
        <f>SUM(I154:I155)=SUM(I156:I157)</f>
        <v>1</v>
      </c>
      <c r="J158" s="452" t="b">
        <f t="shared" si="42"/>
        <v>1</v>
      </c>
      <c r="K158" s="452" t="b">
        <f t="shared" si="42"/>
        <v>1</v>
      </c>
      <c r="L158" s="452" t="b">
        <f t="shared" si="42"/>
        <v>1</v>
      </c>
      <c r="M158" s="452" t="b">
        <f t="shared" si="42"/>
        <v>1</v>
      </c>
      <c r="N158" s="452" t="b">
        <f>SUM(N154:N155)=SUM(N156:N157)</f>
        <v>1</v>
      </c>
      <c r="O158" s="452" t="b">
        <f t="shared" ref="O158:U158" si="43">SUM(O154:O155)=SUM(O156:O157)</f>
        <v>1</v>
      </c>
      <c r="P158" s="452" t="b">
        <f t="shared" si="43"/>
        <v>1</v>
      </c>
      <c r="Q158" s="452" t="b">
        <f t="shared" si="43"/>
        <v>1</v>
      </c>
      <c r="R158" s="452" t="b">
        <f t="shared" si="43"/>
        <v>1</v>
      </c>
      <c r="S158" s="452" t="b">
        <f t="shared" si="43"/>
        <v>1</v>
      </c>
      <c r="T158" s="452" t="b">
        <f t="shared" si="43"/>
        <v>1</v>
      </c>
      <c r="U158" s="453" t="b">
        <f t="shared" si="43"/>
        <v>1</v>
      </c>
    </row>
    <row r="159" spans="1:29" ht="15.75" thickBot="1" x14ac:dyDescent="0.3"/>
    <row r="160" spans="1:29" ht="15.75" thickBot="1" x14ac:dyDescent="0.3">
      <c r="B160" s="827"/>
      <c r="C160" s="827"/>
      <c r="D160" s="827"/>
      <c r="E160" s="497" t="s">
        <v>566</v>
      </c>
      <c r="F160" s="498"/>
      <c r="G160" s="498"/>
      <c r="H160" s="498"/>
      <c r="I160" s="498"/>
      <c r="J160" s="498"/>
      <c r="K160" s="498"/>
      <c r="L160" s="498"/>
      <c r="M160" s="498"/>
      <c r="N160" s="498"/>
      <c r="O160" s="498"/>
      <c r="P160" s="498"/>
      <c r="Q160" s="498"/>
      <c r="R160" s="498"/>
      <c r="S160" s="498"/>
      <c r="T160" s="498"/>
      <c r="U160" s="498"/>
      <c r="V160" s="828" t="s">
        <v>567</v>
      </c>
      <c r="W160" s="828"/>
      <c r="X160" s="828"/>
      <c r="Y160" s="828"/>
      <c r="Z160" s="828"/>
      <c r="AA160" s="828"/>
      <c r="AB160" s="828"/>
      <c r="AC160" s="829"/>
    </row>
    <row r="161" spans="1:29" ht="37.5" customHeight="1" x14ac:dyDescent="0.25">
      <c r="B161" s="825" t="s">
        <v>619</v>
      </c>
      <c r="C161" s="826"/>
      <c r="D161" s="826"/>
      <c r="E161" s="826"/>
      <c r="F161" s="474" t="str">
        <f>'Imp-Aus'!E55</f>
        <v>T2 - 2024</v>
      </c>
      <c r="G161" s="475" t="str">
        <f>'Imp-Aus'!F55</f>
        <v>T3 - 2024</v>
      </c>
      <c r="H161" s="475" t="str">
        <f>'Imp-Aus'!G55</f>
        <v>T4 - 2024</v>
      </c>
      <c r="I161" s="475" t="str">
        <f>'Imp-Aus'!H55</f>
        <v>T1 - 2025</v>
      </c>
      <c r="J161" s="475" t="str">
        <f>'Imp-Aus'!I55</f>
        <v>T2 - 2025</v>
      </c>
      <c r="K161" s="475" t="str">
        <f>'Imp-Aus'!J55</f>
        <v>T3 - 2025</v>
      </c>
      <c r="L161" s="475" t="str">
        <f>'Imp-Aus'!K55</f>
        <v>T4 - 2025</v>
      </c>
      <c r="M161" s="475" t="str">
        <f>'Imp-Aus'!L55</f>
        <v>T1 - 2026</v>
      </c>
      <c r="N161" s="474" t="str">
        <f t="shared" ref="N161:AC161" si="44">F161</f>
        <v>T2 - 2024</v>
      </c>
      <c r="O161" s="475" t="str">
        <f t="shared" si="44"/>
        <v>T3 - 2024</v>
      </c>
      <c r="P161" s="475" t="str">
        <f t="shared" si="44"/>
        <v>T4 - 2024</v>
      </c>
      <c r="Q161" s="475" t="str">
        <f t="shared" si="44"/>
        <v>T1 - 2025</v>
      </c>
      <c r="R161" s="475" t="str">
        <f t="shared" si="44"/>
        <v>T2 - 2025</v>
      </c>
      <c r="S161" s="475" t="str">
        <f t="shared" si="44"/>
        <v>T3 - 2025</v>
      </c>
      <c r="T161" s="475" t="str">
        <f t="shared" si="44"/>
        <v>T4 - 2025</v>
      </c>
      <c r="U161" s="475" t="str">
        <f t="shared" si="44"/>
        <v>T1 - 2026</v>
      </c>
      <c r="V161" s="476" t="str">
        <f t="shared" si="44"/>
        <v>T2 - 2024</v>
      </c>
      <c r="W161" s="477" t="str">
        <f t="shared" si="44"/>
        <v>T3 - 2024</v>
      </c>
      <c r="X161" s="477" t="str">
        <f t="shared" si="44"/>
        <v>T4 - 2024</v>
      </c>
      <c r="Y161" s="477" t="str">
        <f t="shared" si="44"/>
        <v>T1 - 2025</v>
      </c>
      <c r="Z161" s="477" t="str">
        <f t="shared" si="44"/>
        <v>T2 - 2025</v>
      </c>
      <c r="AA161" s="477" t="str">
        <f t="shared" si="44"/>
        <v>T3 - 2025</v>
      </c>
      <c r="AB161" s="477" t="str">
        <f t="shared" si="44"/>
        <v>T4 - 2025</v>
      </c>
      <c r="AC161" s="478" t="str">
        <f t="shared" si="44"/>
        <v>T1 - 2026</v>
      </c>
    </row>
    <row r="162" spans="1:29" ht="15.75" thickBot="1" x14ac:dyDescent="0.3">
      <c r="B162" s="499" t="s">
        <v>550</v>
      </c>
      <c r="C162" s="500" t="s">
        <v>551</v>
      </c>
      <c r="D162" s="500" t="s">
        <v>620</v>
      </c>
      <c r="F162" s="481" t="s">
        <v>577</v>
      </c>
      <c r="G162" s="482" t="s">
        <v>577</v>
      </c>
      <c r="H162" s="482" t="s">
        <v>577</v>
      </c>
      <c r="I162" s="482" t="s">
        <v>577</v>
      </c>
      <c r="J162" s="482" t="s">
        <v>577</v>
      </c>
      <c r="K162" s="482" t="s">
        <v>577</v>
      </c>
      <c r="L162" s="482" t="s">
        <v>577</v>
      </c>
      <c r="M162" s="482" t="s">
        <v>577</v>
      </c>
      <c r="N162" s="481" t="s">
        <v>578</v>
      </c>
      <c r="O162" s="482" t="s">
        <v>578</v>
      </c>
      <c r="P162" s="482" t="str">
        <f>N162</f>
        <v>VAL/1000</v>
      </c>
      <c r="Q162" s="482" t="str">
        <f t="shared" ref="Q162:U162" si="45">P162</f>
        <v>VAL/1000</v>
      </c>
      <c r="R162" s="482" t="str">
        <f t="shared" si="45"/>
        <v>VAL/1000</v>
      </c>
      <c r="S162" s="482" t="str">
        <f t="shared" si="45"/>
        <v>VAL/1000</v>
      </c>
      <c r="T162" s="482" t="str">
        <f t="shared" si="45"/>
        <v>VAL/1000</v>
      </c>
      <c r="U162" s="482" t="str">
        <f t="shared" si="45"/>
        <v>VAL/1000</v>
      </c>
      <c r="V162" s="483" t="s">
        <v>579</v>
      </c>
      <c r="W162" s="484" t="s">
        <v>579</v>
      </c>
      <c r="X162" s="484" t="s">
        <v>579</v>
      </c>
      <c r="Y162" s="484" t="s">
        <v>579</v>
      </c>
      <c r="Z162" s="484" t="s">
        <v>579</v>
      </c>
      <c r="AA162" s="484" t="s">
        <v>579</v>
      </c>
      <c r="AB162" s="484" t="s">
        <v>579</v>
      </c>
      <c r="AC162" s="485" t="s">
        <v>579</v>
      </c>
    </row>
    <row r="163" spans="1:29" x14ac:dyDescent="0.25">
      <c r="A163" s="486" t="str">
        <f t="shared" ref="A163:A197" si="46">IF(SUM(F163:U163)&gt;=0.01,"Copy","Don't")</f>
        <v>Don't</v>
      </c>
      <c r="B163" s="466" t="s">
        <v>552</v>
      </c>
      <c r="C163" s="487">
        <f>'Imp-Aus'!$G$22</f>
        <v>0</v>
      </c>
      <c r="D163" s="487" t="s">
        <v>621</v>
      </c>
      <c r="E163" s="501">
        <f>Pro!C119</f>
        <v>0</v>
      </c>
      <c r="F163" s="439">
        <f>'Imp-Aus'!E$57</f>
        <v>0</v>
      </c>
      <c r="G163" s="440">
        <f>'Imp-Aus'!F$57</f>
        <v>0</v>
      </c>
      <c r="H163" s="440">
        <f>'Imp-Aus'!G$57</f>
        <v>0</v>
      </c>
      <c r="I163" s="440">
        <f>'Imp-Aus'!H$57</f>
        <v>0</v>
      </c>
      <c r="J163" s="440">
        <f>'Imp-Aus'!I$57</f>
        <v>0</v>
      </c>
      <c r="K163" s="440">
        <f>'Imp-Aus'!J$57</f>
        <v>0</v>
      </c>
      <c r="L163" s="440">
        <f>'Imp-Aus'!K$57</f>
        <v>0</v>
      </c>
      <c r="M163" s="440">
        <f>'Imp-Aus'!L$57</f>
        <v>0</v>
      </c>
      <c r="N163" s="439">
        <f>'Imp-Aus'!E$58/1000</f>
        <v>0</v>
      </c>
      <c r="O163" s="440">
        <f>'Imp-Aus'!F$58/1000</f>
        <v>0</v>
      </c>
      <c r="P163" s="440">
        <f>'Imp-Aus'!G$58/1000</f>
        <v>0</v>
      </c>
      <c r="Q163" s="440">
        <f>'Imp-Aus'!H$58/1000</f>
        <v>0</v>
      </c>
      <c r="R163" s="440">
        <f>'Imp-Aus'!I$58/1000</f>
        <v>0</v>
      </c>
      <c r="S163" s="440">
        <f>'Imp-Aus'!J$58/1000</f>
        <v>0</v>
      </c>
      <c r="T163" s="440">
        <f>'Imp-Aus'!K$58/1000</f>
        <v>0</v>
      </c>
      <c r="U163" s="440">
        <f>'Imp-Aus'!L$58/1000</f>
        <v>0</v>
      </c>
      <c r="V163" s="502">
        <f t="shared" ref="V163:AC187" si="47">(IF(ISERROR(N163/F163),0,N163/F163))*1000</f>
        <v>0</v>
      </c>
      <c r="W163" s="503">
        <f t="shared" si="47"/>
        <v>0</v>
      </c>
      <c r="X163" s="503">
        <f t="shared" si="47"/>
        <v>0</v>
      </c>
      <c r="Y163" s="503">
        <f t="shared" si="47"/>
        <v>0</v>
      </c>
      <c r="Z163" s="503">
        <f t="shared" si="47"/>
        <v>0</v>
      </c>
      <c r="AA163" s="503">
        <f t="shared" si="47"/>
        <v>0</v>
      </c>
      <c r="AB163" s="503">
        <f t="shared" si="47"/>
        <v>0</v>
      </c>
      <c r="AC163" s="504">
        <f>(IF(ISERROR(U163/M163),0,U163/M163))*1000</f>
        <v>0</v>
      </c>
    </row>
    <row r="164" spans="1:29" x14ac:dyDescent="0.25">
      <c r="A164" s="493" t="str">
        <f t="shared" si="46"/>
        <v>Don't</v>
      </c>
      <c r="B164" s="461" t="str">
        <f t="shared" ref="B164:C167" si="48">B163</f>
        <v>AUT</v>
      </c>
      <c r="C164">
        <f t="shared" si="48"/>
        <v>0</v>
      </c>
      <c r="D164" t="s">
        <v>622</v>
      </c>
      <c r="E164" s="505">
        <f>Pro!C120</f>
        <v>0</v>
      </c>
      <c r="F164" s="442">
        <f>'Imp-Aus'!E$61</f>
        <v>0</v>
      </c>
      <c r="G164" s="443">
        <f>'Imp-Aus'!F$61</f>
        <v>0</v>
      </c>
      <c r="H164" s="443">
        <f>'Imp-Aus'!G$61</f>
        <v>0</v>
      </c>
      <c r="I164" s="443">
        <f>'Imp-Aus'!H$61</f>
        <v>0</v>
      </c>
      <c r="J164" s="443">
        <f>'Imp-Aus'!I$61</f>
        <v>0</v>
      </c>
      <c r="K164" s="443">
        <f>'Imp-Aus'!J$61</f>
        <v>0</v>
      </c>
      <c r="L164" s="443">
        <f>'Imp-Aus'!K$61</f>
        <v>0</v>
      </c>
      <c r="M164" s="443">
        <f>'Imp-Aus'!L$61</f>
        <v>0</v>
      </c>
      <c r="N164" s="442">
        <f>'Imp-Aus'!E$62/1000</f>
        <v>0</v>
      </c>
      <c r="O164" s="443">
        <f>'Imp-Aus'!F$62/1000</f>
        <v>0</v>
      </c>
      <c r="P164" s="443">
        <f>'Imp-Aus'!G$62/1000</f>
        <v>0</v>
      </c>
      <c r="Q164" s="443">
        <f>'Imp-Aus'!H$62/1000</f>
        <v>0</v>
      </c>
      <c r="R164" s="443">
        <f>'Imp-Aus'!I$62/1000</f>
        <v>0</v>
      </c>
      <c r="S164" s="443">
        <f>'Imp-Aus'!J$62/1000</f>
        <v>0</v>
      </c>
      <c r="T164" s="443">
        <f>'Imp-Aus'!K$62/1000</f>
        <v>0</v>
      </c>
      <c r="U164" s="443">
        <f>'Imp-Aus'!L$62/1000</f>
        <v>0</v>
      </c>
      <c r="V164" s="490">
        <f t="shared" si="47"/>
        <v>0</v>
      </c>
      <c r="W164" s="491">
        <f t="shared" si="47"/>
        <v>0</v>
      </c>
      <c r="X164" s="491">
        <f t="shared" si="47"/>
        <v>0</v>
      </c>
      <c r="Y164" s="491">
        <f t="shared" si="47"/>
        <v>0</v>
      </c>
      <c r="Z164" s="491">
        <f t="shared" si="47"/>
        <v>0</v>
      </c>
      <c r="AA164" s="491">
        <f t="shared" si="47"/>
        <v>0</v>
      </c>
      <c r="AB164" s="491">
        <f t="shared" si="47"/>
        <v>0</v>
      </c>
      <c r="AC164" s="492">
        <f t="shared" si="47"/>
        <v>0</v>
      </c>
    </row>
    <row r="165" spans="1:29" x14ac:dyDescent="0.25">
      <c r="A165" s="493" t="str">
        <f t="shared" si="46"/>
        <v>Don't</v>
      </c>
      <c r="B165" s="461" t="str">
        <f t="shared" si="48"/>
        <v>AUT</v>
      </c>
      <c r="C165">
        <f t="shared" si="48"/>
        <v>0</v>
      </c>
      <c r="D165" t="s">
        <v>623</v>
      </c>
      <c r="E165" s="505">
        <f>Pro!C121</f>
        <v>0</v>
      </c>
      <c r="F165" s="439">
        <f>'Imp-Aus'!E$65</f>
        <v>0</v>
      </c>
      <c r="G165" s="440">
        <f>'Imp-Aus'!F$65</f>
        <v>0</v>
      </c>
      <c r="H165" s="440">
        <f>'Imp-Aus'!G$65</f>
        <v>0</v>
      </c>
      <c r="I165" s="440">
        <f>'Imp-Aus'!H$65</f>
        <v>0</v>
      </c>
      <c r="J165" s="440">
        <f>'Imp-Aus'!I$65</f>
        <v>0</v>
      </c>
      <c r="K165" s="440">
        <f>'Imp-Aus'!J$65</f>
        <v>0</v>
      </c>
      <c r="L165" s="440">
        <f>'Imp-Aus'!K$65</f>
        <v>0</v>
      </c>
      <c r="M165" s="440">
        <f>'Imp-Aus'!L$65</f>
        <v>0</v>
      </c>
      <c r="N165" s="439">
        <f>'Imp-Aus'!E$66/1000</f>
        <v>0</v>
      </c>
      <c r="O165" s="440">
        <f>'Imp-Aus'!F$66/1000</f>
        <v>0</v>
      </c>
      <c r="P165" s="440">
        <f>'Imp-Aus'!G$66/1000</f>
        <v>0</v>
      </c>
      <c r="Q165" s="440">
        <f>'Imp-Aus'!H$66/1000</f>
        <v>0</v>
      </c>
      <c r="R165" s="440">
        <f>'Imp-Aus'!I$66/1000</f>
        <v>0</v>
      </c>
      <c r="S165" s="440">
        <f>'Imp-Aus'!J$66/1000</f>
        <v>0</v>
      </c>
      <c r="T165" s="440">
        <f>'Imp-Aus'!K$66/1000</f>
        <v>0</v>
      </c>
      <c r="U165" s="440">
        <f>'Imp-Aus'!L$66/1000</f>
        <v>0</v>
      </c>
      <c r="V165" s="490">
        <f t="shared" si="47"/>
        <v>0</v>
      </c>
      <c r="W165" s="491">
        <f t="shared" si="47"/>
        <v>0</v>
      </c>
      <c r="X165" s="491">
        <f t="shared" si="47"/>
        <v>0</v>
      </c>
      <c r="Y165" s="491">
        <f t="shared" si="47"/>
        <v>0</v>
      </c>
      <c r="Z165" s="491">
        <f t="shared" si="47"/>
        <v>0</v>
      </c>
      <c r="AA165" s="491">
        <f t="shared" si="47"/>
        <v>0</v>
      </c>
      <c r="AB165" s="491">
        <f t="shared" si="47"/>
        <v>0</v>
      </c>
      <c r="AC165" s="492">
        <f t="shared" si="47"/>
        <v>0</v>
      </c>
    </row>
    <row r="166" spans="1:29" x14ac:dyDescent="0.25">
      <c r="A166" s="493" t="str">
        <f t="shared" si="46"/>
        <v>Don't</v>
      </c>
      <c r="B166" s="461" t="str">
        <f t="shared" si="48"/>
        <v>AUT</v>
      </c>
      <c r="C166">
        <f t="shared" si="48"/>
        <v>0</v>
      </c>
      <c r="D166" t="s">
        <v>624</v>
      </c>
      <c r="E166" s="505">
        <f>Pro!C122</f>
        <v>0</v>
      </c>
      <c r="F166" s="442">
        <f>'Imp-Aus'!E$69</f>
        <v>0</v>
      </c>
      <c r="G166" s="443">
        <f>'Imp-Aus'!F$69</f>
        <v>0</v>
      </c>
      <c r="H166" s="443">
        <f>'Imp-Aus'!G$69</f>
        <v>0</v>
      </c>
      <c r="I166" s="443">
        <f>'Imp-Aus'!H$69</f>
        <v>0</v>
      </c>
      <c r="J166" s="443">
        <f>'Imp-Aus'!I$69</f>
        <v>0</v>
      </c>
      <c r="K166" s="443">
        <f>'Imp-Aus'!J$69</f>
        <v>0</v>
      </c>
      <c r="L166" s="443">
        <f>'Imp-Aus'!K$69</f>
        <v>0</v>
      </c>
      <c r="M166" s="443">
        <f>'Imp-Aus'!L$69</f>
        <v>0</v>
      </c>
      <c r="N166" s="442">
        <f>'Imp-Aus'!E$70/1000</f>
        <v>0</v>
      </c>
      <c r="O166" s="443">
        <f>'Imp-Aus'!F$70/1000</f>
        <v>0</v>
      </c>
      <c r="P166" s="443">
        <f>'Imp-Aus'!G$70/1000</f>
        <v>0</v>
      </c>
      <c r="Q166" s="443">
        <f>'Imp-Aus'!H$70/1000</f>
        <v>0</v>
      </c>
      <c r="R166" s="443">
        <f>'Imp-Aus'!I$70/1000</f>
        <v>0</v>
      </c>
      <c r="S166" s="443">
        <f>'Imp-Aus'!J$70/1000</f>
        <v>0</v>
      </c>
      <c r="T166" s="443">
        <f>'Imp-Aus'!K$70/1000</f>
        <v>0</v>
      </c>
      <c r="U166" s="443">
        <f>'Imp-Aus'!L$70/1000</f>
        <v>0</v>
      </c>
      <c r="V166" s="490">
        <f t="shared" si="47"/>
        <v>0</v>
      </c>
      <c r="W166" s="491">
        <f t="shared" si="47"/>
        <v>0</v>
      </c>
      <c r="X166" s="491">
        <f t="shared" si="47"/>
        <v>0</v>
      </c>
      <c r="Y166" s="491">
        <f t="shared" si="47"/>
        <v>0</v>
      </c>
      <c r="Z166" s="491">
        <f t="shared" si="47"/>
        <v>0</v>
      </c>
      <c r="AA166" s="491">
        <f t="shared" si="47"/>
        <v>0</v>
      </c>
      <c r="AB166" s="491">
        <f t="shared" si="47"/>
        <v>0</v>
      </c>
      <c r="AC166" s="492">
        <f t="shared" si="47"/>
        <v>0</v>
      </c>
    </row>
    <row r="167" spans="1:29" x14ac:dyDescent="0.25">
      <c r="A167" s="493" t="str">
        <f t="shared" si="46"/>
        <v>Don't</v>
      </c>
      <c r="B167" s="461" t="str">
        <f t="shared" si="48"/>
        <v>AUT</v>
      </c>
      <c r="C167">
        <f t="shared" si="48"/>
        <v>0</v>
      </c>
      <c r="D167" t="s">
        <v>625</v>
      </c>
      <c r="E167" s="505">
        <f>Pro!C123</f>
        <v>0</v>
      </c>
      <c r="F167" s="439">
        <f>'Imp-Aus'!E$73</f>
        <v>0</v>
      </c>
      <c r="G167" s="440">
        <f>'Imp-Aus'!F$73</f>
        <v>0</v>
      </c>
      <c r="H167" s="440">
        <f>'Imp-Aus'!G$73</f>
        <v>0</v>
      </c>
      <c r="I167" s="440">
        <f>'Imp-Aus'!H$73</f>
        <v>0</v>
      </c>
      <c r="J167" s="440">
        <f>'Imp-Aus'!I$73</f>
        <v>0</v>
      </c>
      <c r="K167" s="440">
        <f>'Imp-Aus'!J$73</f>
        <v>0</v>
      </c>
      <c r="L167" s="440">
        <f>'Imp-Aus'!K$73</f>
        <v>0</v>
      </c>
      <c r="M167" s="440">
        <f>'Imp-Aus'!L$73</f>
        <v>0</v>
      </c>
      <c r="N167" s="439">
        <f>'Imp-Aus'!E$74/1000</f>
        <v>0</v>
      </c>
      <c r="O167" s="440">
        <f>'Imp-Aus'!F$74/1000</f>
        <v>0</v>
      </c>
      <c r="P167" s="440">
        <f>'Imp-Aus'!G$74/1000</f>
        <v>0</v>
      </c>
      <c r="Q167" s="440">
        <f>'Imp-Aus'!H$74/1000</f>
        <v>0</v>
      </c>
      <c r="R167" s="440">
        <f>'Imp-Aus'!I$74/1000</f>
        <v>0</v>
      </c>
      <c r="S167" s="440">
        <f>'Imp-Aus'!J$74/1000</f>
        <v>0</v>
      </c>
      <c r="T167" s="440">
        <f>'Imp-Aus'!K$74/1000</f>
        <v>0</v>
      </c>
      <c r="U167" s="440">
        <f>'Imp-Aus'!L$74/1000</f>
        <v>0</v>
      </c>
      <c r="V167" s="490">
        <f t="shared" si="47"/>
        <v>0</v>
      </c>
      <c r="W167" s="491">
        <f t="shared" si="47"/>
        <v>0</v>
      </c>
      <c r="X167" s="491">
        <f t="shared" si="47"/>
        <v>0</v>
      </c>
      <c r="Y167" s="491">
        <f t="shared" si="47"/>
        <v>0</v>
      </c>
      <c r="Z167" s="491">
        <f t="shared" si="47"/>
        <v>0</v>
      </c>
      <c r="AA167" s="491">
        <f t="shared" si="47"/>
        <v>0</v>
      </c>
      <c r="AB167" s="491">
        <f t="shared" si="47"/>
        <v>0</v>
      </c>
      <c r="AC167" s="492">
        <f t="shared" si="47"/>
        <v>0</v>
      </c>
    </row>
    <row r="168" spans="1:29" x14ac:dyDescent="0.25">
      <c r="A168" s="493" t="str">
        <f t="shared" si="46"/>
        <v>Don't</v>
      </c>
      <c r="B168" s="494" t="s">
        <v>552</v>
      </c>
      <c r="C168" s="495">
        <f>'Imp-Aus2'!$G$22</f>
        <v>0</v>
      </c>
      <c r="D168" s="495" t="s">
        <v>621</v>
      </c>
      <c r="E168" s="506">
        <f>E163</f>
        <v>0</v>
      </c>
      <c r="F168" s="442">
        <f>'Imp-Aus2'!E$57</f>
        <v>0</v>
      </c>
      <c r="G168" s="443">
        <f>'Imp-Aus2'!F$57</f>
        <v>0</v>
      </c>
      <c r="H168" s="443">
        <f>'Imp-Aus2'!G$57</f>
        <v>0</v>
      </c>
      <c r="I168" s="443">
        <f>'Imp-Aus2'!H$57</f>
        <v>0</v>
      </c>
      <c r="J168" s="443">
        <f>'Imp-Aus2'!I$57</f>
        <v>0</v>
      </c>
      <c r="K168" s="443">
        <f>'Imp-Aus2'!J$57</f>
        <v>0</v>
      </c>
      <c r="L168" s="443">
        <f>'Imp-Aus2'!K$57</f>
        <v>0</v>
      </c>
      <c r="M168" s="443">
        <f>'Imp-Aus2'!L$57</f>
        <v>0</v>
      </c>
      <c r="N168" s="442">
        <f>'Imp-Aus2'!E$58/1000</f>
        <v>0</v>
      </c>
      <c r="O168" s="443">
        <f>'Imp-Aus2'!F$58/1000</f>
        <v>0</v>
      </c>
      <c r="P168" s="443">
        <f>'Imp-Aus2'!G$58/1000</f>
        <v>0</v>
      </c>
      <c r="Q168" s="443">
        <f>'Imp-Aus2'!H$58/1000</f>
        <v>0</v>
      </c>
      <c r="R168" s="443">
        <f>'Imp-Aus2'!I$58/1000</f>
        <v>0</v>
      </c>
      <c r="S168" s="443">
        <f>'Imp-Aus2'!J$58/1000</f>
        <v>0</v>
      </c>
      <c r="T168" s="443">
        <f>'Imp-Aus2'!K$58/1000</f>
        <v>0</v>
      </c>
      <c r="U168" s="443">
        <f>'Imp-Aus2'!L$58/1000</f>
        <v>0</v>
      </c>
      <c r="V168" s="490">
        <f t="shared" si="47"/>
        <v>0</v>
      </c>
      <c r="W168" s="491">
        <f t="shared" si="47"/>
        <v>0</v>
      </c>
      <c r="X168" s="491">
        <f t="shared" si="47"/>
        <v>0</v>
      </c>
      <c r="Y168" s="491">
        <f t="shared" si="47"/>
        <v>0</v>
      </c>
      <c r="Z168" s="491">
        <f t="shared" si="47"/>
        <v>0</v>
      </c>
      <c r="AA168" s="491">
        <f t="shared" si="47"/>
        <v>0</v>
      </c>
      <c r="AB168" s="491">
        <f t="shared" si="47"/>
        <v>0</v>
      </c>
      <c r="AC168" s="492">
        <f t="shared" si="47"/>
        <v>0</v>
      </c>
    </row>
    <row r="169" spans="1:29" x14ac:dyDescent="0.25">
      <c r="A169" s="493" t="str">
        <f t="shared" si="46"/>
        <v>Don't</v>
      </c>
      <c r="B169" s="461" t="str">
        <f t="shared" ref="B169:C172" si="49">B168</f>
        <v>AUT</v>
      </c>
      <c r="C169">
        <f t="shared" si="49"/>
        <v>0</v>
      </c>
      <c r="D169" t="s">
        <v>622</v>
      </c>
      <c r="E169" s="505">
        <f t="shared" ref="E169:E196" si="50">E164</f>
        <v>0</v>
      </c>
      <c r="F169" s="439">
        <f>'Imp-Aus2'!E$61</f>
        <v>0</v>
      </c>
      <c r="G169" s="440">
        <f>'Imp-Aus2'!F$61</f>
        <v>0</v>
      </c>
      <c r="H169" s="440">
        <f>'Imp-Aus2'!G$61</f>
        <v>0</v>
      </c>
      <c r="I169" s="440">
        <f>'Imp-Aus2'!H$61</f>
        <v>0</v>
      </c>
      <c r="J169" s="440">
        <f>'Imp-Aus2'!I$61</f>
        <v>0</v>
      </c>
      <c r="K169" s="440">
        <f>'Imp-Aus2'!J$61</f>
        <v>0</v>
      </c>
      <c r="L169" s="440">
        <f>'Imp-Aus2'!K$61</f>
        <v>0</v>
      </c>
      <c r="M169" s="440">
        <f>'Imp-Aus2'!L$61</f>
        <v>0</v>
      </c>
      <c r="N169" s="439">
        <f>'Imp-Aus2'!E$62/1000</f>
        <v>0</v>
      </c>
      <c r="O169" s="440">
        <f>'Imp-Aus2'!F$62/1000</f>
        <v>0</v>
      </c>
      <c r="P169" s="440">
        <f>'Imp-Aus2'!G$62/1000</f>
        <v>0</v>
      </c>
      <c r="Q169" s="440">
        <f>'Imp-Aus2'!H$62/1000</f>
        <v>0</v>
      </c>
      <c r="R169" s="440">
        <f>'Imp-Aus2'!I$62/1000</f>
        <v>0</v>
      </c>
      <c r="S169" s="440">
        <f>'Imp-Aus2'!J$62/1000</f>
        <v>0</v>
      </c>
      <c r="T169" s="440">
        <f>'Imp-Aus2'!K$62/1000</f>
        <v>0</v>
      </c>
      <c r="U169" s="440">
        <f>'Imp-Aus2'!L$62/1000</f>
        <v>0</v>
      </c>
      <c r="V169" s="490">
        <f t="shared" si="47"/>
        <v>0</v>
      </c>
      <c r="W169" s="491">
        <f t="shared" si="47"/>
        <v>0</v>
      </c>
      <c r="X169" s="491">
        <f t="shared" si="47"/>
        <v>0</v>
      </c>
      <c r="Y169" s="491">
        <f t="shared" si="47"/>
        <v>0</v>
      </c>
      <c r="Z169" s="491">
        <f t="shared" si="47"/>
        <v>0</v>
      </c>
      <c r="AA169" s="491">
        <f t="shared" si="47"/>
        <v>0</v>
      </c>
      <c r="AB169" s="491">
        <f t="shared" si="47"/>
        <v>0</v>
      </c>
      <c r="AC169" s="492">
        <f t="shared" si="47"/>
        <v>0</v>
      </c>
    </row>
    <row r="170" spans="1:29" x14ac:dyDescent="0.25">
      <c r="A170" s="493" t="str">
        <f t="shared" si="46"/>
        <v>Don't</v>
      </c>
      <c r="B170" s="461" t="str">
        <f t="shared" si="49"/>
        <v>AUT</v>
      </c>
      <c r="C170">
        <f t="shared" si="49"/>
        <v>0</v>
      </c>
      <c r="D170" t="s">
        <v>623</v>
      </c>
      <c r="E170" s="505">
        <f t="shared" si="50"/>
        <v>0</v>
      </c>
      <c r="F170" s="442">
        <f>'Imp-Aus2'!E$65</f>
        <v>0</v>
      </c>
      <c r="G170" s="443">
        <f>'Imp-Aus2'!F$65</f>
        <v>0</v>
      </c>
      <c r="H170" s="443">
        <f>'Imp-Aus2'!G$65</f>
        <v>0</v>
      </c>
      <c r="I170" s="443">
        <f>'Imp-Aus2'!H$65</f>
        <v>0</v>
      </c>
      <c r="J170" s="443">
        <f>'Imp-Aus2'!I$65</f>
        <v>0</v>
      </c>
      <c r="K170" s="443">
        <f>'Imp-Aus2'!J$65</f>
        <v>0</v>
      </c>
      <c r="L170" s="443">
        <f>'Imp-Aus2'!K$65</f>
        <v>0</v>
      </c>
      <c r="M170" s="443">
        <f>'Imp-Aus2'!L$65</f>
        <v>0</v>
      </c>
      <c r="N170" s="442">
        <f>'Imp-Aus2'!E$66/1000</f>
        <v>0</v>
      </c>
      <c r="O170" s="443">
        <f>'Imp-Aus2'!F$66/1000</f>
        <v>0</v>
      </c>
      <c r="P170" s="443">
        <f>'Imp-Aus2'!G$66/1000</f>
        <v>0</v>
      </c>
      <c r="Q170" s="443">
        <f>'Imp-Aus2'!H$66/1000</f>
        <v>0</v>
      </c>
      <c r="R170" s="443">
        <f>'Imp-Aus2'!I$66/1000</f>
        <v>0</v>
      </c>
      <c r="S170" s="443">
        <f>'Imp-Aus2'!J$66/1000</f>
        <v>0</v>
      </c>
      <c r="T170" s="443">
        <f>'Imp-Aus2'!K$66/1000</f>
        <v>0</v>
      </c>
      <c r="U170" s="443">
        <f>'Imp-Aus2'!L$66/1000</f>
        <v>0</v>
      </c>
      <c r="V170" s="490">
        <f t="shared" si="47"/>
        <v>0</v>
      </c>
      <c r="W170" s="491">
        <f t="shared" si="47"/>
        <v>0</v>
      </c>
      <c r="X170" s="491">
        <f t="shared" si="47"/>
        <v>0</v>
      </c>
      <c r="Y170" s="491">
        <f t="shared" si="47"/>
        <v>0</v>
      </c>
      <c r="Z170" s="491">
        <f t="shared" si="47"/>
        <v>0</v>
      </c>
      <c r="AA170" s="491">
        <f t="shared" si="47"/>
        <v>0</v>
      </c>
      <c r="AB170" s="491">
        <f t="shared" si="47"/>
        <v>0</v>
      </c>
      <c r="AC170" s="492">
        <f t="shared" si="47"/>
        <v>0</v>
      </c>
    </row>
    <row r="171" spans="1:29" x14ac:dyDescent="0.25">
      <c r="A171" s="493" t="str">
        <f t="shared" si="46"/>
        <v>Don't</v>
      </c>
      <c r="B171" s="461" t="str">
        <f t="shared" si="49"/>
        <v>AUT</v>
      </c>
      <c r="C171">
        <f t="shared" si="49"/>
        <v>0</v>
      </c>
      <c r="D171" t="s">
        <v>624</v>
      </c>
      <c r="E171" s="505">
        <f t="shared" si="50"/>
        <v>0</v>
      </c>
      <c r="F171" s="439">
        <f>'Imp-Aus2'!E$69</f>
        <v>0</v>
      </c>
      <c r="G171" s="440">
        <f>'Imp-Aus2'!F$69</f>
        <v>0</v>
      </c>
      <c r="H171" s="440">
        <f>'Imp-Aus2'!G$69</f>
        <v>0</v>
      </c>
      <c r="I171" s="440">
        <f>'Imp-Aus2'!H$69</f>
        <v>0</v>
      </c>
      <c r="J171" s="440">
        <f>'Imp-Aus2'!I$69</f>
        <v>0</v>
      </c>
      <c r="K171" s="440">
        <f>'Imp-Aus2'!J$69</f>
        <v>0</v>
      </c>
      <c r="L171" s="440">
        <f>'Imp-Aus2'!K$69</f>
        <v>0</v>
      </c>
      <c r="M171" s="440">
        <f>'Imp-Aus2'!L$69</f>
        <v>0</v>
      </c>
      <c r="N171" s="439">
        <f>'Imp-Aus2'!E$70/1000</f>
        <v>0</v>
      </c>
      <c r="O171" s="440">
        <f>'Imp-Aus2'!F$70/1000</f>
        <v>0</v>
      </c>
      <c r="P171" s="440">
        <f>'Imp-Aus2'!G$70/1000</f>
        <v>0</v>
      </c>
      <c r="Q171" s="440">
        <f>'Imp-Aus2'!H$70/1000</f>
        <v>0</v>
      </c>
      <c r="R171" s="440">
        <f>'Imp-Aus2'!I$70/1000</f>
        <v>0</v>
      </c>
      <c r="S171" s="440">
        <f>'Imp-Aus2'!J$70/1000</f>
        <v>0</v>
      </c>
      <c r="T171" s="440">
        <f>'Imp-Aus2'!K$70/1000</f>
        <v>0</v>
      </c>
      <c r="U171" s="440">
        <f>'Imp-Aus2'!L$70/1000</f>
        <v>0</v>
      </c>
      <c r="V171" s="490">
        <f t="shared" si="47"/>
        <v>0</v>
      </c>
      <c r="W171" s="491">
        <f t="shared" si="47"/>
        <v>0</v>
      </c>
      <c r="X171" s="491">
        <f t="shared" si="47"/>
        <v>0</v>
      </c>
      <c r="Y171" s="491">
        <f t="shared" si="47"/>
        <v>0</v>
      </c>
      <c r="Z171" s="491">
        <f t="shared" si="47"/>
        <v>0</v>
      </c>
      <c r="AA171" s="491">
        <f t="shared" si="47"/>
        <v>0</v>
      </c>
      <c r="AB171" s="491">
        <f t="shared" si="47"/>
        <v>0</v>
      </c>
      <c r="AC171" s="492">
        <f t="shared" si="47"/>
        <v>0</v>
      </c>
    </row>
    <row r="172" spans="1:29" x14ac:dyDescent="0.25">
      <c r="A172" s="493" t="str">
        <f t="shared" si="46"/>
        <v>Don't</v>
      </c>
      <c r="B172" s="461" t="str">
        <f t="shared" si="49"/>
        <v>AUT</v>
      </c>
      <c r="C172">
        <f t="shared" si="49"/>
        <v>0</v>
      </c>
      <c r="D172" t="s">
        <v>625</v>
      </c>
      <c r="E172" s="505">
        <f>E167</f>
        <v>0</v>
      </c>
      <c r="F172" s="442">
        <f>'Imp-Aus2'!E$73</f>
        <v>0</v>
      </c>
      <c r="G172" s="443">
        <f>'Imp-Aus2'!F$73</f>
        <v>0</v>
      </c>
      <c r="H172" s="443">
        <f>'Imp-Aus2'!G$73</f>
        <v>0</v>
      </c>
      <c r="I172" s="443">
        <f>'Imp-Aus2'!H$73</f>
        <v>0</v>
      </c>
      <c r="J172" s="443">
        <f>'Imp-Aus2'!I$73</f>
        <v>0</v>
      </c>
      <c r="K172" s="443">
        <f>'Imp-Aus2'!J$73</f>
        <v>0</v>
      </c>
      <c r="L172" s="443">
        <f>'Imp-Aus2'!K$73</f>
        <v>0</v>
      </c>
      <c r="M172" s="443">
        <f>'Imp-Aus2'!L$73</f>
        <v>0</v>
      </c>
      <c r="N172" s="442">
        <f>'Imp-Aus2'!E$74/1000</f>
        <v>0</v>
      </c>
      <c r="O172" s="443">
        <f>'Imp-Aus2'!F$74/1000</f>
        <v>0</v>
      </c>
      <c r="P172" s="443">
        <f>'Imp-Aus2'!G$74/1000</f>
        <v>0</v>
      </c>
      <c r="Q172" s="443">
        <f>'Imp-Aus2'!H$74/1000</f>
        <v>0</v>
      </c>
      <c r="R172" s="443">
        <f>'Imp-Aus2'!I$74/1000</f>
        <v>0</v>
      </c>
      <c r="S172" s="443">
        <f>'Imp-Aus2'!J$74/1000</f>
        <v>0</v>
      </c>
      <c r="T172" s="443">
        <f>'Imp-Aus2'!K$74/1000</f>
        <v>0</v>
      </c>
      <c r="U172" s="443">
        <f>'Imp-Aus2'!L$74/1000</f>
        <v>0</v>
      </c>
      <c r="V172" s="490">
        <f t="shared" si="47"/>
        <v>0</v>
      </c>
      <c r="W172" s="491">
        <f t="shared" si="47"/>
        <v>0</v>
      </c>
      <c r="X172" s="491">
        <f t="shared" si="47"/>
        <v>0</v>
      </c>
      <c r="Y172" s="491">
        <f t="shared" si="47"/>
        <v>0</v>
      </c>
      <c r="Z172" s="491">
        <f t="shared" si="47"/>
        <v>0</v>
      </c>
      <c r="AA172" s="491">
        <f t="shared" si="47"/>
        <v>0</v>
      </c>
      <c r="AB172" s="491">
        <f t="shared" si="47"/>
        <v>0</v>
      </c>
      <c r="AC172" s="492">
        <f t="shared" si="47"/>
        <v>0</v>
      </c>
    </row>
    <row r="173" spans="1:29" x14ac:dyDescent="0.25">
      <c r="A173" s="493" t="str">
        <f t="shared" si="46"/>
        <v>Don't</v>
      </c>
      <c r="B173" s="494" t="s">
        <v>552</v>
      </c>
      <c r="C173" s="495">
        <f>'Imp-Aus3'!$G$22</f>
        <v>0</v>
      </c>
      <c r="D173" s="495" t="s">
        <v>621</v>
      </c>
      <c r="E173" s="506">
        <f>E168</f>
        <v>0</v>
      </c>
      <c r="F173" s="439">
        <f>'Imp-Aus3'!E$57</f>
        <v>0</v>
      </c>
      <c r="G173" s="440">
        <f>'Imp-Aus3'!F$57</f>
        <v>0</v>
      </c>
      <c r="H173" s="440">
        <f>'Imp-Aus3'!G$57</f>
        <v>0</v>
      </c>
      <c r="I173" s="440">
        <f>'Imp-Aus3'!H$57</f>
        <v>0</v>
      </c>
      <c r="J173" s="440">
        <f>'Imp-Aus3'!I$57</f>
        <v>0</v>
      </c>
      <c r="K173" s="440">
        <f>'Imp-Aus3'!J$57</f>
        <v>0</v>
      </c>
      <c r="L173" s="440">
        <f>'Imp-Aus3'!K$57</f>
        <v>0</v>
      </c>
      <c r="M173" s="440">
        <f>'Imp-Aus3'!L$57</f>
        <v>0</v>
      </c>
      <c r="N173" s="439">
        <f>'Imp-Aus3'!E$58/1000</f>
        <v>0</v>
      </c>
      <c r="O173" s="440">
        <f>'Imp-Aus3'!F$58/1000</f>
        <v>0</v>
      </c>
      <c r="P173" s="440">
        <f>'Imp-Aus3'!G$58/1000</f>
        <v>0</v>
      </c>
      <c r="Q173" s="440">
        <f>'Imp-Aus3'!H$58/1000</f>
        <v>0</v>
      </c>
      <c r="R173" s="440">
        <f>'Imp-Aus3'!I$58/1000</f>
        <v>0</v>
      </c>
      <c r="S173" s="440">
        <f>'Imp-Aus3'!J$58/1000</f>
        <v>0</v>
      </c>
      <c r="T173" s="440">
        <f>'Imp-Aus3'!K$58/1000</f>
        <v>0</v>
      </c>
      <c r="U173" s="440">
        <f>'Imp-Aus3'!L$58/1000</f>
        <v>0</v>
      </c>
      <c r="V173" s="490">
        <f t="shared" si="47"/>
        <v>0</v>
      </c>
      <c r="W173" s="491">
        <f t="shared" si="47"/>
        <v>0</v>
      </c>
      <c r="X173" s="491">
        <f t="shared" si="47"/>
        <v>0</v>
      </c>
      <c r="Y173" s="491">
        <f t="shared" si="47"/>
        <v>0</v>
      </c>
      <c r="Z173" s="491">
        <f t="shared" si="47"/>
        <v>0</v>
      </c>
      <c r="AA173" s="491">
        <f t="shared" si="47"/>
        <v>0</v>
      </c>
      <c r="AB173" s="491">
        <f t="shared" si="47"/>
        <v>0</v>
      </c>
      <c r="AC173" s="492">
        <f t="shared" si="47"/>
        <v>0</v>
      </c>
    </row>
    <row r="174" spans="1:29" x14ac:dyDescent="0.25">
      <c r="A174" s="493" t="str">
        <f t="shared" si="46"/>
        <v>Don't</v>
      </c>
      <c r="B174" s="461" t="str">
        <f t="shared" ref="B174:C177" si="51">B173</f>
        <v>AUT</v>
      </c>
      <c r="C174">
        <f t="shared" si="51"/>
        <v>0</v>
      </c>
      <c r="D174" t="s">
        <v>622</v>
      </c>
      <c r="E174" s="505">
        <f t="shared" si="50"/>
        <v>0</v>
      </c>
      <c r="F174" s="442">
        <f>'Imp-Aus3'!E$61</f>
        <v>0</v>
      </c>
      <c r="G174" s="443">
        <f>'Imp-Aus3'!F$61</f>
        <v>0</v>
      </c>
      <c r="H174" s="443">
        <f>'Imp-Aus3'!G$61</f>
        <v>0</v>
      </c>
      <c r="I174" s="443">
        <f>'Imp-Aus3'!H$61</f>
        <v>0</v>
      </c>
      <c r="J174" s="443">
        <f>'Imp-Aus3'!I$61</f>
        <v>0</v>
      </c>
      <c r="K174" s="443">
        <f>'Imp-Aus3'!J$61</f>
        <v>0</v>
      </c>
      <c r="L174" s="443">
        <f>'Imp-Aus3'!K$61</f>
        <v>0</v>
      </c>
      <c r="M174" s="443">
        <f>'Imp-Aus3'!L$61</f>
        <v>0</v>
      </c>
      <c r="N174" s="442">
        <f>'Imp-Aus3'!E$62/1000</f>
        <v>0</v>
      </c>
      <c r="O174" s="443">
        <f>'Imp-Aus3'!F$62/1000</f>
        <v>0</v>
      </c>
      <c r="P174" s="443">
        <f>'Imp-Aus3'!G$62/1000</f>
        <v>0</v>
      </c>
      <c r="Q174" s="443">
        <f>'Imp-Aus3'!H$62/1000</f>
        <v>0</v>
      </c>
      <c r="R174" s="443">
        <f>'Imp-Aus3'!I$62/1000</f>
        <v>0</v>
      </c>
      <c r="S174" s="443">
        <f>'Imp-Aus3'!J$62/1000</f>
        <v>0</v>
      </c>
      <c r="T174" s="443">
        <f>'Imp-Aus3'!K$62/1000</f>
        <v>0</v>
      </c>
      <c r="U174" s="443">
        <f>'Imp-Aus3'!L$62/1000</f>
        <v>0</v>
      </c>
      <c r="V174" s="490">
        <f t="shared" si="47"/>
        <v>0</v>
      </c>
      <c r="W174" s="491">
        <f t="shared" si="47"/>
        <v>0</v>
      </c>
      <c r="X174" s="491">
        <f t="shared" si="47"/>
        <v>0</v>
      </c>
      <c r="Y174" s="491">
        <f t="shared" si="47"/>
        <v>0</v>
      </c>
      <c r="Z174" s="491">
        <f t="shared" si="47"/>
        <v>0</v>
      </c>
      <c r="AA174" s="491">
        <f t="shared" si="47"/>
        <v>0</v>
      </c>
      <c r="AB174" s="491">
        <f t="shared" si="47"/>
        <v>0</v>
      </c>
      <c r="AC174" s="492">
        <f t="shared" si="47"/>
        <v>0</v>
      </c>
    </row>
    <row r="175" spans="1:29" x14ac:dyDescent="0.25">
      <c r="A175" s="493" t="str">
        <f t="shared" si="46"/>
        <v>Don't</v>
      </c>
      <c r="B175" s="461" t="str">
        <f t="shared" si="51"/>
        <v>AUT</v>
      </c>
      <c r="C175">
        <f t="shared" si="51"/>
        <v>0</v>
      </c>
      <c r="D175" t="s">
        <v>623</v>
      </c>
      <c r="E175" s="505">
        <f t="shared" si="50"/>
        <v>0</v>
      </c>
      <c r="F175" s="439">
        <f>'Imp-Aus3'!E$65</f>
        <v>0</v>
      </c>
      <c r="G175" s="440">
        <f>'Imp-Aus3'!F$65</f>
        <v>0</v>
      </c>
      <c r="H175" s="440">
        <f>'Imp-Aus3'!G$65</f>
        <v>0</v>
      </c>
      <c r="I175" s="440">
        <f>'Imp-Aus3'!H$65</f>
        <v>0</v>
      </c>
      <c r="J175" s="440">
        <f>'Imp-Aus3'!I$65</f>
        <v>0</v>
      </c>
      <c r="K175" s="440">
        <f>'Imp-Aus3'!J$65</f>
        <v>0</v>
      </c>
      <c r="L175" s="440">
        <f>'Imp-Aus3'!K$65</f>
        <v>0</v>
      </c>
      <c r="M175" s="440">
        <f>'Imp-Aus3'!L$65</f>
        <v>0</v>
      </c>
      <c r="N175" s="439">
        <f>'Imp-Aus3'!E$66/1000</f>
        <v>0</v>
      </c>
      <c r="O175" s="440">
        <f>'Imp-Aus3'!F$66/1000</f>
        <v>0</v>
      </c>
      <c r="P175" s="440">
        <f>'Imp-Aus3'!G$66/1000</f>
        <v>0</v>
      </c>
      <c r="Q175" s="440">
        <f>'Imp-Aus3'!H$66/1000</f>
        <v>0</v>
      </c>
      <c r="R175" s="440">
        <f>'Imp-Aus3'!I$66/1000</f>
        <v>0</v>
      </c>
      <c r="S175" s="440">
        <f>'Imp-Aus3'!J$66/1000</f>
        <v>0</v>
      </c>
      <c r="T175" s="440">
        <f>'Imp-Aus3'!K$66/1000</f>
        <v>0</v>
      </c>
      <c r="U175" s="440">
        <f>'Imp-Aus3'!L$66/1000</f>
        <v>0</v>
      </c>
      <c r="V175" s="490">
        <f t="shared" si="47"/>
        <v>0</v>
      </c>
      <c r="W175" s="491">
        <f t="shared" si="47"/>
        <v>0</v>
      </c>
      <c r="X175" s="491">
        <f t="shared" si="47"/>
        <v>0</v>
      </c>
      <c r="Y175" s="491">
        <f t="shared" si="47"/>
        <v>0</v>
      </c>
      <c r="Z175" s="491">
        <f t="shared" si="47"/>
        <v>0</v>
      </c>
      <c r="AA175" s="491">
        <f t="shared" si="47"/>
        <v>0</v>
      </c>
      <c r="AB175" s="491">
        <f t="shared" si="47"/>
        <v>0</v>
      </c>
      <c r="AC175" s="492">
        <f t="shared" si="47"/>
        <v>0</v>
      </c>
    </row>
    <row r="176" spans="1:29" x14ac:dyDescent="0.25">
      <c r="A176" s="493" t="str">
        <f t="shared" si="46"/>
        <v>Don't</v>
      </c>
      <c r="B176" s="461" t="str">
        <f t="shared" si="51"/>
        <v>AUT</v>
      </c>
      <c r="C176">
        <f t="shared" si="51"/>
        <v>0</v>
      </c>
      <c r="D176" t="s">
        <v>624</v>
      </c>
      <c r="E176" s="505">
        <f t="shared" si="50"/>
        <v>0</v>
      </c>
      <c r="F176" s="442">
        <f>'Imp-Aus3'!E$69</f>
        <v>0</v>
      </c>
      <c r="G176" s="443">
        <f>'Imp-Aus3'!F$69</f>
        <v>0</v>
      </c>
      <c r="H176" s="443">
        <f>'Imp-Aus3'!G$69</f>
        <v>0</v>
      </c>
      <c r="I176" s="443">
        <f>'Imp-Aus3'!H$69</f>
        <v>0</v>
      </c>
      <c r="J176" s="443">
        <f>'Imp-Aus3'!I$69</f>
        <v>0</v>
      </c>
      <c r="K176" s="443">
        <f>'Imp-Aus3'!J$69</f>
        <v>0</v>
      </c>
      <c r="L176" s="443">
        <f>'Imp-Aus3'!K$69</f>
        <v>0</v>
      </c>
      <c r="M176" s="443">
        <f>'Imp-Aus3'!L$69</f>
        <v>0</v>
      </c>
      <c r="N176" s="442">
        <f>'Imp-Aus3'!E$70/1000</f>
        <v>0</v>
      </c>
      <c r="O176" s="443">
        <f>'Imp-Aus3'!F$70/1000</f>
        <v>0</v>
      </c>
      <c r="P176" s="443">
        <f>'Imp-Aus3'!G$70/1000</f>
        <v>0</v>
      </c>
      <c r="Q176" s="443">
        <f>'Imp-Aus3'!H$70/1000</f>
        <v>0</v>
      </c>
      <c r="R176" s="443">
        <f>'Imp-Aus3'!I$70/1000</f>
        <v>0</v>
      </c>
      <c r="S176" s="443">
        <f>'Imp-Aus3'!J$70/1000</f>
        <v>0</v>
      </c>
      <c r="T176" s="443">
        <f>'Imp-Aus3'!K$70/1000</f>
        <v>0</v>
      </c>
      <c r="U176" s="443">
        <f>'Imp-Aus3'!L$70/1000</f>
        <v>0</v>
      </c>
      <c r="V176" s="490">
        <f t="shared" si="47"/>
        <v>0</v>
      </c>
      <c r="W176" s="491">
        <f t="shared" si="47"/>
        <v>0</v>
      </c>
      <c r="X176" s="491">
        <f t="shared" si="47"/>
        <v>0</v>
      </c>
      <c r="Y176" s="491">
        <f t="shared" si="47"/>
        <v>0</v>
      </c>
      <c r="Z176" s="491">
        <f t="shared" si="47"/>
        <v>0</v>
      </c>
      <c r="AA176" s="491">
        <f t="shared" si="47"/>
        <v>0</v>
      </c>
      <c r="AB176" s="491">
        <f t="shared" si="47"/>
        <v>0</v>
      </c>
      <c r="AC176" s="492">
        <f t="shared" si="47"/>
        <v>0</v>
      </c>
    </row>
    <row r="177" spans="1:29" x14ac:dyDescent="0.25">
      <c r="A177" s="493" t="str">
        <f t="shared" si="46"/>
        <v>Don't</v>
      </c>
      <c r="B177" s="461" t="str">
        <f t="shared" si="51"/>
        <v>AUT</v>
      </c>
      <c r="C177">
        <f t="shared" si="51"/>
        <v>0</v>
      </c>
      <c r="D177" t="s">
        <v>625</v>
      </c>
      <c r="E177" s="505">
        <f>E172</f>
        <v>0</v>
      </c>
      <c r="F177" s="439">
        <f>'Imp-Aus3'!E$73</f>
        <v>0</v>
      </c>
      <c r="G177" s="440">
        <f>'Imp-Aus3'!F$73</f>
        <v>0</v>
      </c>
      <c r="H177" s="440">
        <f>'Imp-Aus3'!G$73</f>
        <v>0</v>
      </c>
      <c r="I177" s="440">
        <f>'Imp-Aus3'!H$73</f>
        <v>0</v>
      </c>
      <c r="J177" s="440">
        <f>'Imp-Aus3'!I$73</f>
        <v>0</v>
      </c>
      <c r="K177" s="440">
        <f>'Imp-Aus3'!J$73</f>
        <v>0</v>
      </c>
      <c r="L177" s="440">
        <f>'Imp-Aus3'!K$73</f>
        <v>0</v>
      </c>
      <c r="M177" s="440">
        <f>'Imp-Aus3'!L$73</f>
        <v>0</v>
      </c>
      <c r="N177" s="439">
        <f>'Imp-Aus3'!E$74/1000</f>
        <v>0</v>
      </c>
      <c r="O177" s="440">
        <f>'Imp-Aus3'!F$74/1000</f>
        <v>0</v>
      </c>
      <c r="P177" s="440">
        <f>'Imp-Aus3'!G$74/1000</f>
        <v>0</v>
      </c>
      <c r="Q177" s="440">
        <f>'Imp-Aus3'!H$74/1000</f>
        <v>0</v>
      </c>
      <c r="R177" s="440">
        <f>'Imp-Aus3'!I$74/1000</f>
        <v>0</v>
      </c>
      <c r="S177" s="440">
        <f>'Imp-Aus3'!J$74/1000</f>
        <v>0</v>
      </c>
      <c r="T177" s="440">
        <f>'Imp-Aus3'!K$74/1000</f>
        <v>0</v>
      </c>
      <c r="U177" s="440">
        <f>'Imp-Aus3'!L$74/1000</f>
        <v>0</v>
      </c>
      <c r="V177" s="490">
        <f t="shared" si="47"/>
        <v>0</v>
      </c>
      <c r="W177" s="491">
        <f t="shared" si="47"/>
        <v>0</v>
      </c>
      <c r="X177" s="491">
        <f t="shared" si="47"/>
        <v>0</v>
      </c>
      <c r="Y177" s="491">
        <f t="shared" si="47"/>
        <v>0</v>
      </c>
      <c r="Z177" s="491">
        <f t="shared" si="47"/>
        <v>0</v>
      </c>
      <c r="AA177" s="491">
        <f t="shared" si="47"/>
        <v>0</v>
      </c>
      <c r="AB177" s="491">
        <f t="shared" si="47"/>
        <v>0</v>
      </c>
      <c r="AC177" s="492">
        <f t="shared" si="47"/>
        <v>0</v>
      </c>
    </row>
    <row r="178" spans="1:29" x14ac:dyDescent="0.25">
      <c r="A178" s="493" t="str">
        <f t="shared" si="46"/>
        <v>Don't</v>
      </c>
      <c r="B178" s="494" t="s">
        <v>555</v>
      </c>
      <c r="C178" s="495"/>
      <c r="D178" s="495" t="s">
        <v>621</v>
      </c>
      <c r="E178" s="506">
        <f t="shared" si="50"/>
        <v>0</v>
      </c>
      <c r="F178" s="442">
        <f>'Imp-Mex'!E$57</f>
        <v>0</v>
      </c>
      <c r="G178" s="443">
        <f>'Imp-Mex'!F$57</f>
        <v>0</v>
      </c>
      <c r="H178" s="443">
        <f>'Imp-Mex'!G$57</f>
        <v>0</v>
      </c>
      <c r="I178" s="443">
        <f>'Imp-Mex'!H$57</f>
        <v>0</v>
      </c>
      <c r="J178" s="443">
        <f>'Imp-Mex'!I$57</f>
        <v>0</v>
      </c>
      <c r="K178" s="443">
        <f>'Imp-Mex'!J$57</f>
        <v>0</v>
      </c>
      <c r="L178" s="443">
        <f>'Imp-Mex'!K$57</f>
        <v>0</v>
      </c>
      <c r="M178" s="443">
        <f>'Imp-Mex'!L$57</f>
        <v>0</v>
      </c>
      <c r="N178" s="442">
        <f>'Imp-Mex'!E$58/1000</f>
        <v>0</v>
      </c>
      <c r="O178" s="443">
        <f>'Imp-Mex'!F$58/1000</f>
        <v>0</v>
      </c>
      <c r="P178" s="443">
        <f>'Imp-Mex'!G$58/1000</f>
        <v>0</v>
      </c>
      <c r="Q178" s="443">
        <f>'Imp-Mex'!H$58/1000</f>
        <v>0</v>
      </c>
      <c r="R178" s="443">
        <f>'Imp-Mex'!I$58/1000</f>
        <v>0</v>
      </c>
      <c r="S178" s="443">
        <f>'Imp-Mex'!J$58/1000</f>
        <v>0</v>
      </c>
      <c r="T178" s="443">
        <f>'Imp-Mex'!K$58/1000</f>
        <v>0</v>
      </c>
      <c r="U178" s="443">
        <f>'Imp-Mex'!L$58/1000</f>
        <v>0</v>
      </c>
      <c r="V178" s="490">
        <f t="shared" si="47"/>
        <v>0</v>
      </c>
      <c r="W178" s="491">
        <f t="shared" si="47"/>
        <v>0</v>
      </c>
      <c r="X178" s="491">
        <f t="shared" si="47"/>
        <v>0</v>
      </c>
      <c r="Y178" s="491">
        <f t="shared" si="47"/>
        <v>0</v>
      </c>
      <c r="Z178" s="491">
        <f t="shared" si="47"/>
        <v>0</v>
      </c>
      <c r="AA178" s="491">
        <f t="shared" si="47"/>
        <v>0</v>
      </c>
      <c r="AB178" s="491">
        <f t="shared" si="47"/>
        <v>0</v>
      </c>
      <c r="AC178" s="492">
        <f t="shared" si="47"/>
        <v>0</v>
      </c>
    </row>
    <row r="179" spans="1:29" x14ac:dyDescent="0.25">
      <c r="A179" s="493" t="str">
        <f t="shared" si="46"/>
        <v>Don't</v>
      </c>
      <c r="B179" s="461" t="str">
        <f t="shared" ref="B179:B182" si="52">B178</f>
        <v>MEX</v>
      </c>
      <c r="D179" t="s">
        <v>622</v>
      </c>
      <c r="E179" s="505">
        <f>E174</f>
        <v>0</v>
      </c>
      <c r="F179" s="439">
        <f>'Imp-Mex'!E$61</f>
        <v>0</v>
      </c>
      <c r="G179" s="440">
        <f>'Imp-Mex'!F$61</f>
        <v>0</v>
      </c>
      <c r="H179" s="440">
        <f>'Imp-Mex'!G$61</f>
        <v>0</v>
      </c>
      <c r="I179" s="440">
        <f>'Imp-Mex'!H$61</f>
        <v>0</v>
      </c>
      <c r="J179" s="440">
        <f>'Imp-Mex'!I$61</f>
        <v>0</v>
      </c>
      <c r="K179" s="440">
        <f>'Imp-Mex'!J$61</f>
        <v>0</v>
      </c>
      <c r="L179" s="440">
        <f>'Imp-Mex'!K$61</f>
        <v>0</v>
      </c>
      <c r="M179" s="440">
        <f>'Imp-Mex'!L$61</f>
        <v>0</v>
      </c>
      <c r="N179" s="439">
        <f>'Imp-Mex'!E$62/1000</f>
        <v>0</v>
      </c>
      <c r="O179" s="440">
        <f>'Imp-Mex'!F$62/1000</f>
        <v>0</v>
      </c>
      <c r="P179" s="440">
        <f>'Imp-Mex'!G$62/1000</f>
        <v>0</v>
      </c>
      <c r="Q179" s="440">
        <f>'Imp-Mex'!H$62/1000</f>
        <v>0</v>
      </c>
      <c r="R179" s="440">
        <f>'Imp-Mex'!I$62/1000</f>
        <v>0</v>
      </c>
      <c r="S179" s="440">
        <f>'Imp-Mex'!J$62/1000</f>
        <v>0</v>
      </c>
      <c r="T179" s="440">
        <f>'Imp-Mex'!K$62/1000</f>
        <v>0</v>
      </c>
      <c r="U179" s="440">
        <f>'Imp-Mex'!L$62/1000</f>
        <v>0</v>
      </c>
      <c r="V179" s="490">
        <f t="shared" si="47"/>
        <v>0</v>
      </c>
      <c r="W179" s="491">
        <f t="shared" si="47"/>
        <v>0</v>
      </c>
      <c r="X179" s="491">
        <f t="shared" si="47"/>
        <v>0</v>
      </c>
      <c r="Y179" s="491">
        <f t="shared" si="47"/>
        <v>0</v>
      </c>
      <c r="Z179" s="491">
        <f t="shared" si="47"/>
        <v>0</v>
      </c>
      <c r="AA179" s="491">
        <f t="shared" si="47"/>
        <v>0</v>
      </c>
      <c r="AB179" s="491">
        <f t="shared" si="47"/>
        <v>0</v>
      </c>
      <c r="AC179" s="492">
        <f t="shared" si="47"/>
        <v>0</v>
      </c>
    </row>
    <row r="180" spans="1:29" x14ac:dyDescent="0.25">
      <c r="A180" s="493" t="str">
        <f t="shared" si="46"/>
        <v>Don't</v>
      </c>
      <c r="B180" s="461" t="str">
        <f t="shared" si="52"/>
        <v>MEX</v>
      </c>
      <c r="D180" t="s">
        <v>623</v>
      </c>
      <c r="E180" s="505">
        <f t="shared" si="50"/>
        <v>0</v>
      </c>
      <c r="F180" s="442">
        <f>'Imp-Mex'!E$65</f>
        <v>0</v>
      </c>
      <c r="G180" s="443">
        <f>'Imp-Mex'!F$65</f>
        <v>0</v>
      </c>
      <c r="H180" s="443">
        <f>'Imp-Mex'!G$65</f>
        <v>0</v>
      </c>
      <c r="I180" s="443">
        <f>'Imp-Mex'!H$65</f>
        <v>0</v>
      </c>
      <c r="J180" s="443">
        <f>'Imp-Mex'!I$65</f>
        <v>0</v>
      </c>
      <c r="K180" s="443">
        <f>'Imp-Mex'!J$65</f>
        <v>0</v>
      </c>
      <c r="L180" s="443">
        <f>'Imp-Mex'!K$65</f>
        <v>0</v>
      </c>
      <c r="M180" s="443">
        <f>'Imp-Mex'!L$65</f>
        <v>0</v>
      </c>
      <c r="N180" s="442">
        <f>'Imp-Mex'!E$66/1000</f>
        <v>0</v>
      </c>
      <c r="O180" s="443">
        <f>'Imp-Mex'!F$66/1000</f>
        <v>0</v>
      </c>
      <c r="P180" s="443">
        <f>'Imp-Mex'!G$66/1000</f>
        <v>0</v>
      </c>
      <c r="Q180" s="443">
        <f>'Imp-Mex'!H$66/1000</f>
        <v>0</v>
      </c>
      <c r="R180" s="443">
        <f>'Imp-Mex'!I$66/1000</f>
        <v>0</v>
      </c>
      <c r="S180" s="443">
        <f>'Imp-Mex'!J$66/1000</f>
        <v>0</v>
      </c>
      <c r="T180" s="443">
        <f>'Imp-Mex'!K$66/1000</f>
        <v>0</v>
      </c>
      <c r="U180" s="443">
        <f>'Imp-Mex'!L$66/1000</f>
        <v>0</v>
      </c>
      <c r="V180" s="490">
        <f t="shared" si="47"/>
        <v>0</v>
      </c>
      <c r="W180" s="491">
        <f t="shared" si="47"/>
        <v>0</v>
      </c>
      <c r="X180" s="491">
        <f t="shared" si="47"/>
        <v>0</v>
      </c>
      <c r="Y180" s="491">
        <f t="shared" si="47"/>
        <v>0</v>
      </c>
      <c r="Z180" s="491">
        <f t="shared" si="47"/>
        <v>0</v>
      </c>
      <c r="AA180" s="491">
        <f t="shared" si="47"/>
        <v>0</v>
      </c>
      <c r="AB180" s="491">
        <f t="shared" si="47"/>
        <v>0</v>
      </c>
      <c r="AC180" s="492">
        <f t="shared" si="47"/>
        <v>0</v>
      </c>
    </row>
    <row r="181" spans="1:29" x14ac:dyDescent="0.25">
      <c r="A181" s="493" t="str">
        <f t="shared" si="46"/>
        <v>Don't</v>
      </c>
      <c r="B181" s="461" t="str">
        <f t="shared" si="52"/>
        <v>MEX</v>
      </c>
      <c r="D181" t="s">
        <v>624</v>
      </c>
      <c r="E181" s="505">
        <f t="shared" si="50"/>
        <v>0</v>
      </c>
      <c r="F181" s="439">
        <f>'Imp-Mex'!E$69</f>
        <v>0</v>
      </c>
      <c r="G181" s="440">
        <f>'Imp-Mex'!F$69</f>
        <v>0</v>
      </c>
      <c r="H181" s="440">
        <f>'Imp-Mex'!G$69</f>
        <v>0</v>
      </c>
      <c r="I181" s="440">
        <f>'Imp-Mex'!H$69</f>
        <v>0</v>
      </c>
      <c r="J181" s="440">
        <f>'Imp-Mex'!I$69</f>
        <v>0</v>
      </c>
      <c r="K181" s="440">
        <f>'Imp-Mex'!J$69</f>
        <v>0</v>
      </c>
      <c r="L181" s="440">
        <f>'Imp-Mex'!K$69</f>
        <v>0</v>
      </c>
      <c r="M181" s="440">
        <f>'Imp-Mex'!L$69</f>
        <v>0</v>
      </c>
      <c r="N181" s="439">
        <f>'Imp-Mex'!E$70/1000</f>
        <v>0</v>
      </c>
      <c r="O181" s="440">
        <f>'Imp-Mex'!F$70/1000</f>
        <v>0</v>
      </c>
      <c r="P181" s="440">
        <f>'Imp-Mex'!G$70/1000</f>
        <v>0</v>
      </c>
      <c r="Q181" s="440">
        <f>'Imp-Mex'!H$70/1000</f>
        <v>0</v>
      </c>
      <c r="R181" s="440">
        <f>'Imp-Mex'!I$70/1000</f>
        <v>0</v>
      </c>
      <c r="S181" s="440">
        <f>'Imp-Mex'!J$70/1000</f>
        <v>0</v>
      </c>
      <c r="T181" s="440">
        <f>'Imp-Mex'!K$70/1000</f>
        <v>0</v>
      </c>
      <c r="U181" s="440">
        <f>'Imp-Mex'!L$70/1000</f>
        <v>0</v>
      </c>
      <c r="V181" s="490">
        <f t="shared" si="47"/>
        <v>0</v>
      </c>
      <c r="W181" s="491">
        <f t="shared" si="47"/>
        <v>0</v>
      </c>
      <c r="X181" s="491">
        <f t="shared" si="47"/>
        <v>0</v>
      </c>
      <c r="Y181" s="491">
        <f t="shared" si="47"/>
        <v>0</v>
      </c>
      <c r="Z181" s="491">
        <f t="shared" si="47"/>
        <v>0</v>
      </c>
      <c r="AA181" s="491">
        <f t="shared" si="47"/>
        <v>0</v>
      </c>
      <c r="AB181" s="491">
        <f t="shared" si="47"/>
        <v>0</v>
      </c>
      <c r="AC181" s="492">
        <f t="shared" si="47"/>
        <v>0</v>
      </c>
    </row>
    <row r="182" spans="1:29" x14ac:dyDescent="0.25">
      <c r="A182" s="493" t="str">
        <f t="shared" si="46"/>
        <v>Don't</v>
      </c>
      <c r="B182" s="461" t="str">
        <f t="shared" si="52"/>
        <v>MEX</v>
      </c>
      <c r="D182" t="s">
        <v>625</v>
      </c>
      <c r="E182" s="505">
        <f>E177</f>
        <v>0</v>
      </c>
      <c r="F182" s="442">
        <f>'Imp-Mex'!E$73</f>
        <v>0</v>
      </c>
      <c r="G182" s="443">
        <f>'Imp-Mex'!F$73</f>
        <v>0</v>
      </c>
      <c r="H182" s="443">
        <f>'Imp-Mex'!G$73</f>
        <v>0</v>
      </c>
      <c r="I182" s="443">
        <f>'Imp-Mex'!H$73</f>
        <v>0</v>
      </c>
      <c r="J182" s="443">
        <f>'Imp-Mex'!I$73</f>
        <v>0</v>
      </c>
      <c r="K182" s="443">
        <f>'Imp-Mex'!J$73</f>
        <v>0</v>
      </c>
      <c r="L182" s="443">
        <f>'Imp-Mex'!K$73</f>
        <v>0</v>
      </c>
      <c r="M182" s="443">
        <f>'Imp-Mex'!L$73</f>
        <v>0</v>
      </c>
      <c r="N182" s="442">
        <f>'Imp-Mex'!E$74/1000</f>
        <v>0</v>
      </c>
      <c r="O182" s="443">
        <f>'Imp-Mex'!F$74/1000</f>
        <v>0</v>
      </c>
      <c r="P182" s="443">
        <f>'Imp-Mex'!G$74/1000</f>
        <v>0</v>
      </c>
      <c r="Q182" s="443">
        <f>'Imp-Mex'!H$74/1000</f>
        <v>0</v>
      </c>
      <c r="R182" s="443">
        <f>'Imp-Mex'!I$74/1000</f>
        <v>0</v>
      </c>
      <c r="S182" s="443">
        <f>'Imp-Mex'!J$74/1000</f>
        <v>0</v>
      </c>
      <c r="T182" s="443">
        <f>'Imp-Mex'!K$74/1000</f>
        <v>0</v>
      </c>
      <c r="U182" s="443">
        <f>'Imp-Mex'!L$74/1000</f>
        <v>0</v>
      </c>
      <c r="V182" s="490">
        <f t="shared" si="47"/>
        <v>0</v>
      </c>
      <c r="W182" s="491">
        <f t="shared" si="47"/>
        <v>0</v>
      </c>
      <c r="X182" s="491">
        <f t="shared" si="47"/>
        <v>0</v>
      </c>
      <c r="Y182" s="491">
        <f t="shared" si="47"/>
        <v>0</v>
      </c>
      <c r="Z182" s="491">
        <f t="shared" si="47"/>
        <v>0</v>
      </c>
      <c r="AA182" s="491">
        <f t="shared" si="47"/>
        <v>0</v>
      </c>
      <c r="AB182" s="491">
        <f t="shared" si="47"/>
        <v>0</v>
      </c>
      <c r="AC182" s="492">
        <f t="shared" si="47"/>
        <v>0</v>
      </c>
    </row>
    <row r="183" spans="1:29" x14ac:dyDescent="0.25">
      <c r="A183" s="493" t="str">
        <f t="shared" si="46"/>
        <v>Don't</v>
      </c>
      <c r="B183" s="494" t="s">
        <v>556</v>
      </c>
      <c r="C183" s="495"/>
      <c r="D183" s="495" t="s">
        <v>621</v>
      </c>
      <c r="E183" s="506">
        <f>E178</f>
        <v>0</v>
      </c>
      <c r="F183" s="439">
        <f>'Imp-US'!E$57</f>
        <v>0</v>
      </c>
      <c r="G183" s="440">
        <f>'Imp-US'!F$57</f>
        <v>0</v>
      </c>
      <c r="H183" s="440">
        <f>'Imp-US'!G$57</f>
        <v>0</v>
      </c>
      <c r="I183" s="440">
        <f>'Imp-US'!H$57</f>
        <v>0</v>
      </c>
      <c r="J183" s="440">
        <f>'Imp-US'!I$57</f>
        <v>0</v>
      </c>
      <c r="K183" s="440">
        <f>'Imp-US'!J$57</f>
        <v>0</v>
      </c>
      <c r="L183" s="440">
        <f>'Imp-US'!K$57</f>
        <v>0</v>
      </c>
      <c r="M183" s="440">
        <f>'Imp-US'!L$57</f>
        <v>0</v>
      </c>
      <c r="N183" s="439">
        <f>'Imp-US'!E$58/1000</f>
        <v>0</v>
      </c>
      <c r="O183" s="440">
        <f>'Imp-US'!F$58/1000</f>
        <v>0</v>
      </c>
      <c r="P183" s="440">
        <f>'Imp-US'!G$58/1000</f>
        <v>0</v>
      </c>
      <c r="Q183" s="440">
        <f>'Imp-US'!H$58/1000</f>
        <v>0</v>
      </c>
      <c r="R183" s="440">
        <f>'Imp-US'!I$58/1000</f>
        <v>0</v>
      </c>
      <c r="S183" s="440">
        <f>'Imp-US'!J$58/1000</f>
        <v>0</v>
      </c>
      <c r="T183" s="440">
        <f>'Imp-US'!K$58/1000</f>
        <v>0</v>
      </c>
      <c r="U183" s="440">
        <f>'Imp-US'!L$58/1000</f>
        <v>0</v>
      </c>
      <c r="V183" s="490">
        <f t="shared" si="47"/>
        <v>0</v>
      </c>
      <c r="W183" s="491">
        <f t="shared" si="47"/>
        <v>0</v>
      </c>
      <c r="X183" s="491">
        <f t="shared" si="47"/>
        <v>0</v>
      </c>
      <c r="Y183" s="491">
        <f t="shared" si="47"/>
        <v>0</v>
      </c>
      <c r="Z183" s="491">
        <f t="shared" si="47"/>
        <v>0</v>
      </c>
      <c r="AA183" s="491">
        <f t="shared" si="47"/>
        <v>0</v>
      </c>
      <c r="AB183" s="491">
        <f t="shared" si="47"/>
        <v>0</v>
      </c>
      <c r="AC183" s="492">
        <f t="shared" si="47"/>
        <v>0</v>
      </c>
    </row>
    <row r="184" spans="1:29" x14ac:dyDescent="0.25">
      <c r="A184" s="493" t="str">
        <f t="shared" si="46"/>
        <v>Don't</v>
      </c>
      <c r="B184" s="461" t="str">
        <f t="shared" ref="B184:B187" si="53">B183</f>
        <v>USA</v>
      </c>
      <c r="D184" t="s">
        <v>622</v>
      </c>
      <c r="E184" s="505">
        <f t="shared" si="50"/>
        <v>0</v>
      </c>
      <c r="F184" s="442">
        <f>'Imp-US'!E$61</f>
        <v>0</v>
      </c>
      <c r="G184" s="443">
        <f>'Imp-US'!F$61</f>
        <v>0</v>
      </c>
      <c r="H184" s="443">
        <f>'Imp-US'!G$61</f>
        <v>0</v>
      </c>
      <c r="I184" s="443">
        <f>'Imp-US'!H$61</f>
        <v>0</v>
      </c>
      <c r="J184" s="443">
        <f>'Imp-US'!I$61</f>
        <v>0</v>
      </c>
      <c r="K184" s="443">
        <f>'Imp-US'!J$61</f>
        <v>0</v>
      </c>
      <c r="L184" s="443">
        <f>'Imp-US'!K$61</f>
        <v>0</v>
      </c>
      <c r="M184" s="443">
        <f>'Imp-US'!L$61</f>
        <v>0</v>
      </c>
      <c r="N184" s="442">
        <f>'Imp-US'!E$62/1000</f>
        <v>0</v>
      </c>
      <c r="O184" s="443">
        <f>'Imp-US'!F$62/1000</f>
        <v>0</v>
      </c>
      <c r="P184" s="443">
        <f>'Imp-US'!G$62/1000</f>
        <v>0</v>
      </c>
      <c r="Q184" s="443">
        <f>'Imp-US'!H$62/1000</f>
        <v>0</v>
      </c>
      <c r="R184" s="443">
        <f>'Imp-US'!I$62/1000</f>
        <v>0</v>
      </c>
      <c r="S184" s="443">
        <f>'Imp-US'!J$62/1000</f>
        <v>0</v>
      </c>
      <c r="T184" s="443">
        <f>'Imp-US'!K$62/1000</f>
        <v>0</v>
      </c>
      <c r="U184" s="443">
        <f>'Imp-US'!L$62/1000</f>
        <v>0</v>
      </c>
      <c r="V184" s="490">
        <f t="shared" si="47"/>
        <v>0</v>
      </c>
      <c r="W184" s="491">
        <f t="shared" si="47"/>
        <v>0</v>
      </c>
      <c r="X184" s="491">
        <f t="shared" si="47"/>
        <v>0</v>
      </c>
      <c r="Y184" s="491">
        <f t="shared" si="47"/>
        <v>0</v>
      </c>
      <c r="Z184" s="491">
        <f t="shared" si="47"/>
        <v>0</v>
      </c>
      <c r="AA184" s="491">
        <f t="shared" si="47"/>
        <v>0</v>
      </c>
      <c r="AB184" s="491">
        <f t="shared" si="47"/>
        <v>0</v>
      </c>
      <c r="AC184" s="492">
        <f t="shared" si="47"/>
        <v>0</v>
      </c>
    </row>
    <row r="185" spans="1:29" x14ac:dyDescent="0.25">
      <c r="A185" s="493" t="str">
        <f t="shared" si="46"/>
        <v>Don't</v>
      </c>
      <c r="B185" s="461" t="str">
        <f t="shared" si="53"/>
        <v>USA</v>
      </c>
      <c r="D185" t="s">
        <v>623</v>
      </c>
      <c r="E185" s="505">
        <f t="shared" si="50"/>
        <v>0</v>
      </c>
      <c r="F185" s="439">
        <f>'Imp-US'!E$65</f>
        <v>0</v>
      </c>
      <c r="G185" s="440">
        <f>'Imp-US'!F$65</f>
        <v>0</v>
      </c>
      <c r="H185" s="440">
        <f>'Imp-US'!G$65</f>
        <v>0</v>
      </c>
      <c r="I185" s="440">
        <f>'Imp-US'!H$65</f>
        <v>0</v>
      </c>
      <c r="J185" s="440">
        <f>'Imp-US'!I$65</f>
        <v>0</v>
      </c>
      <c r="K185" s="440">
        <f>'Imp-US'!J$65</f>
        <v>0</v>
      </c>
      <c r="L185" s="440">
        <f>'Imp-US'!K$65</f>
        <v>0</v>
      </c>
      <c r="M185" s="440">
        <f>'Imp-US'!L$65</f>
        <v>0</v>
      </c>
      <c r="N185" s="439">
        <f>'Imp-US'!E$66/1000</f>
        <v>0</v>
      </c>
      <c r="O185" s="440">
        <f>'Imp-US'!F$66/1000</f>
        <v>0</v>
      </c>
      <c r="P185" s="440">
        <f>'Imp-US'!G$66/1000</f>
        <v>0</v>
      </c>
      <c r="Q185" s="440">
        <f>'Imp-US'!H$66/1000</f>
        <v>0</v>
      </c>
      <c r="R185" s="440">
        <f>'Imp-US'!I$66/1000</f>
        <v>0</v>
      </c>
      <c r="S185" s="440">
        <f>'Imp-US'!J$66/1000</f>
        <v>0</v>
      </c>
      <c r="T185" s="440">
        <f>'Imp-US'!K$66/1000</f>
        <v>0</v>
      </c>
      <c r="U185" s="440">
        <f>'Imp-US'!L$66/1000</f>
        <v>0</v>
      </c>
      <c r="V185" s="490">
        <f t="shared" si="47"/>
        <v>0</v>
      </c>
      <c r="W185" s="491">
        <f t="shared" si="47"/>
        <v>0</v>
      </c>
      <c r="X185" s="491">
        <f t="shared" si="47"/>
        <v>0</v>
      </c>
      <c r="Y185" s="491">
        <f t="shared" si="47"/>
        <v>0</v>
      </c>
      <c r="Z185" s="491">
        <f t="shared" si="47"/>
        <v>0</v>
      </c>
      <c r="AA185" s="491">
        <f t="shared" si="47"/>
        <v>0</v>
      </c>
      <c r="AB185" s="491">
        <f t="shared" si="47"/>
        <v>0</v>
      </c>
      <c r="AC185" s="492">
        <f t="shared" si="47"/>
        <v>0</v>
      </c>
    </row>
    <row r="186" spans="1:29" x14ac:dyDescent="0.25">
      <c r="A186" s="493" t="str">
        <f t="shared" si="46"/>
        <v>Don't</v>
      </c>
      <c r="B186" s="461" t="str">
        <f t="shared" si="53"/>
        <v>USA</v>
      </c>
      <c r="D186" t="s">
        <v>624</v>
      </c>
      <c r="E186" s="505">
        <f t="shared" si="50"/>
        <v>0</v>
      </c>
      <c r="F186" s="442">
        <f>'Imp-US'!E$69</f>
        <v>0</v>
      </c>
      <c r="G186" s="443">
        <f>'Imp-US'!F$69</f>
        <v>0</v>
      </c>
      <c r="H186" s="443">
        <f>'Imp-US'!G$69</f>
        <v>0</v>
      </c>
      <c r="I186" s="443">
        <f>'Imp-US'!H$69</f>
        <v>0</v>
      </c>
      <c r="J186" s="443">
        <f>'Imp-US'!I$69</f>
        <v>0</v>
      </c>
      <c r="K186" s="443">
        <f>'Imp-US'!J$69</f>
        <v>0</v>
      </c>
      <c r="L186" s="443">
        <f>'Imp-US'!K$69</f>
        <v>0</v>
      </c>
      <c r="M186" s="443">
        <f>'Imp-US'!L$69</f>
        <v>0</v>
      </c>
      <c r="N186" s="442">
        <f>'Imp-US'!E$70/1000</f>
        <v>0</v>
      </c>
      <c r="O186" s="443">
        <f>'Imp-US'!F$70/1000</f>
        <v>0</v>
      </c>
      <c r="P186" s="443">
        <f>'Imp-US'!G$70/1000</f>
        <v>0</v>
      </c>
      <c r="Q186" s="443">
        <f>'Imp-US'!H$70/1000</f>
        <v>0</v>
      </c>
      <c r="R186" s="443">
        <f>'Imp-US'!I$70/1000</f>
        <v>0</v>
      </c>
      <c r="S186" s="443">
        <f>'Imp-US'!J$70/1000</f>
        <v>0</v>
      </c>
      <c r="T186" s="443">
        <f>'Imp-US'!K$70/1000</f>
        <v>0</v>
      </c>
      <c r="U186" s="443">
        <f>'Imp-US'!L$70/1000</f>
        <v>0</v>
      </c>
      <c r="V186" s="490">
        <f t="shared" si="47"/>
        <v>0</v>
      </c>
      <c r="W186" s="491">
        <f t="shared" si="47"/>
        <v>0</v>
      </c>
      <c r="X186" s="491">
        <f t="shared" si="47"/>
        <v>0</v>
      </c>
      <c r="Y186" s="491">
        <f t="shared" si="47"/>
        <v>0</v>
      </c>
      <c r="Z186" s="491">
        <f t="shared" si="47"/>
        <v>0</v>
      </c>
      <c r="AA186" s="491">
        <f t="shared" si="47"/>
        <v>0</v>
      </c>
      <c r="AB186" s="491">
        <f t="shared" si="47"/>
        <v>0</v>
      </c>
      <c r="AC186" s="492">
        <f t="shared" si="47"/>
        <v>0</v>
      </c>
    </row>
    <row r="187" spans="1:29" x14ac:dyDescent="0.25">
      <c r="A187" s="493" t="str">
        <f t="shared" si="46"/>
        <v>Don't</v>
      </c>
      <c r="B187" s="461" t="str">
        <f t="shared" si="53"/>
        <v>USA</v>
      </c>
      <c r="D187" t="s">
        <v>625</v>
      </c>
      <c r="E187" s="505">
        <f>E182</f>
        <v>0</v>
      </c>
      <c r="F187" s="439">
        <f>'Imp-US'!E$73</f>
        <v>0</v>
      </c>
      <c r="G187" s="440">
        <f>'Imp-US'!F$73</f>
        <v>0</v>
      </c>
      <c r="H187" s="440">
        <f>'Imp-US'!G$73</f>
        <v>0</v>
      </c>
      <c r="I187" s="440">
        <f>'Imp-US'!H$73</f>
        <v>0</v>
      </c>
      <c r="J187" s="440">
        <f>'Imp-US'!I$73</f>
        <v>0</v>
      </c>
      <c r="K187" s="440">
        <f>'Imp-US'!J$73</f>
        <v>0</v>
      </c>
      <c r="L187" s="440">
        <f>'Imp-US'!K$73</f>
        <v>0</v>
      </c>
      <c r="M187" s="440">
        <f>'Imp-US'!L$73</f>
        <v>0</v>
      </c>
      <c r="N187" s="439">
        <f>'Imp-US'!E$74/1000</f>
        <v>0</v>
      </c>
      <c r="O187" s="440">
        <f>'Imp-US'!F$74/1000</f>
        <v>0</v>
      </c>
      <c r="P187" s="440">
        <f>'Imp-US'!G$74/1000</f>
        <v>0</v>
      </c>
      <c r="Q187" s="440">
        <f>'Imp-US'!H$74/1000</f>
        <v>0</v>
      </c>
      <c r="R187" s="440">
        <f>'Imp-US'!I$74/1000</f>
        <v>0</v>
      </c>
      <c r="S187" s="440">
        <f>'Imp-US'!J$74/1000</f>
        <v>0</v>
      </c>
      <c r="T187" s="440">
        <f>'Imp-US'!K$74/1000</f>
        <v>0</v>
      </c>
      <c r="U187" s="440">
        <f>'Imp-US'!L$74/1000</f>
        <v>0</v>
      </c>
      <c r="V187" s="490">
        <f t="shared" si="47"/>
        <v>0</v>
      </c>
      <c r="W187" s="491">
        <f t="shared" si="47"/>
        <v>0</v>
      </c>
      <c r="X187" s="491">
        <f t="shared" si="47"/>
        <v>0</v>
      </c>
      <c r="Y187" s="491">
        <f t="shared" si="47"/>
        <v>0</v>
      </c>
      <c r="Z187" s="491">
        <f t="shared" si="47"/>
        <v>0</v>
      </c>
      <c r="AA187" s="491">
        <f t="shared" si="47"/>
        <v>0</v>
      </c>
      <c r="AB187" s="491">
        <f t="shared" si="47"/>
        <v>0</v>
      </c>
      <c r="AC187" s="492">
        <f t="shared" si="47"/>
        <v>0</v>
      </c>
    </row>
    <row r="188" spans="1:29" x14ac:dyDescent="0.25">
      <c r="A188" s="493" t="str">
        <f t="shared" si="46"/>
        <v>Don't</v>
      </c>
      <c r="B188" s="494" t="s">
        <v>557</v>
      </c>
      <c r="C188" s="495"/>
      <c r="D188" s="495" t="str">
        <f>D163</f>
        <v xml:space="preserve">Account 1 - </v>
      </c>
      <c r="E188" s="506">
        <f>E183</f>
        <v>0</v>
      </c>
      <c r="F188" s="442">
        <f>'Imp-Other -Autre'!E$57</f>
        <v>0</v>
      </c>
      <c r="G188" s="443">
        <f>'Imp-Other -Autre'!F$57</f>
        <v>0</v>
      </c>
      <c r="H188" s="443">
        <f>'Imp-Other -Autre'!G$57</f>
        <v>0</v>
      </c>
      <c r="I188" s="443">
        <f>'Imp-Other -Autre'!H$57</f>
        <v>0</v>
      </c>
      <c r="J188" s="443">
        <f>'Imp-Other -Autre'!I$57</f>
        <v>0</v>
      </c>
      <c r="K188" s="443">
        <f>'Imp-Other -Autre'!J$57</f>
        <v>0</v>
      </c>
      <c r="L188" s="443">
        <f>'Imp-Other -Autre'!K$57</f>
        <v>0</v>
      </c>
      <c r="M188" s="443">
        <f>'Imp-Other -Autre'!L$57</f>
        <v>0</v>
      </c>
      <c r="N188" s="442">
        <f>'Imp-Other -Autre'!E$58/1000</f>
        <v>0</v>
      </c>
      <c r="O188" s="443">
        <f>'Imp-Other -Autre'!F$58/1000</f>
        <v>0</v>
      </c>
      <c r="P188" s="443">
        <f>'Imp-Other -Autre'!G$58/1000</f>
        <v>0</v>
      </c>
      <c r="Q188" s="443">
        <f>'Imp-Other -Autre'!H$58/1000</f>
        <v>0</v>
      </c>
      <c r="R188" s="443">
        <f>'Imp-Other -Autre'!I$58/1000</f>
        <v>0</v>
      </c>
      <c r="S188" s="443">
        <f>'Imp-Other -Autre'!J$58/1000</f>
        <v>0</v>
      </c>
      <c r="T188" s="443">
        <f>'Imp-Other -Autre'!K$58/1000</f>
        <v>0</v>
      </c>
      <c r="U188" s="443">
        <f>'Imp-Other -Autre'!L$58/1000</f>
        <v>0</v>
      </c>
      <c r="V188" s="490">
        <f t="shared" ref="V188:AC197" si="54">(IF(ISERROR(N188/F188),0,N188/F188))*1000</f>
        <v>0</v>
      </c>
      <c r="W188" s="491">
        <f t="shared" si="54"/>
        <v>0</v>
      </c>
      <c r="X188" s="491">
        <f t="shared" si="54"/>
        <v>0</v>
      </c>
      <c r="Y188" s="491">
        <f t="shared" si="54"/>
        <v>0</v>
      </c>
      <c r="Z188" s="491">
        <f t="shared" si="54"/>
        <v>0</v>
      </c>
      <c r="AA188" s="491">
        <f t="shared" si="54"/>
        <v>0</v>
      </c>
      <c r="AB188" s="491">
        <f t="shared" si="54"/>
        <v>0</v>
      </c>
      <c r="AC188" s="492">
        <f t="shared" si="54"/>
        <v>0</v>
      </c>
    </row>
    <row r="189" spans="1:29" x14ac:dyDescent="0.25">
      <c r="A189" s="493" t="str">
        <f t="shared" si="46"/>
        <v>Don't</v>
      </c>
      <c r="B189" s="461" t="str">
        <f>B188</f>
        <v>Other Countries</v>
      </c>
      <c r="D189" t="str">
        <f>'Imp-US'!B$56</f>
        <v xml:space="preserve">Client 1 - </v>
      </c>
      <c r="E189" s="505">
        <f t="shared" si="50"/>
        <v>0</v>
      </c>
      <c r="F189" s="439">
        <f>'Imp-Other -Autre'!E$61</f>
        <v>0</v>
      </c>
      <c r="G189" s="440">
        <f>'Imp-Other -Autre'!F$61</f>
        <v>0</v>
      </c>
      <c r="H189" s="440">
        <f>'Imp-Other -Autre'!G$61</f>
        <v>0</v>
      </c>
      <c r="I189" s="440">
        <f>'Imp-Other -Autre'!H$61</f>
        <v>0</v>
      </c>
      <c r="J189" s="440">
        <f>'Imp-Other -Autre'!I$61</f>
        <v>0</v>
      </c>
      <c r="K189" s="440">
        <f>'Imp-Other -Autre'!J$61</f>
        <v>0</v>
      </c>
      <c r="L189" s="440">
        <f>'Imp-Other -Autre'!K$61</f>
        <v>0</v>
      </c>
      <c r="M189" s="440">
        <f>'Imp-Other -Autre'!L$61</f>
        <v>0</v>
      </c>
      <c r="N189" s="439">
        <f>'Imp-Other -Autre'!E$62/1000</f>
        <v>0</v>
      </c>
      <c r="O189" s="440">
        <f>'Imp-Other -Autre'!F$62/1000</f>
        <v>0</v>
      </c>
      <c r="P189" s="440">
        <f>'Imp-Other -Autre'!G$62/1000</f>
        <v>0</v>
      </c>
      <c r="Q189" s="440">
        <f>'Imp-Other -Autre'!H$62/1000</f>
        <v>0</v>
      </c>
      <c r="R189" s="440">
        <f>'Imp-Other -Autre'!I$62/1000</f>
        <v>0</v>
      </c>
      <c r="S189" s="440">
        <f>'Imp-Other -Autre'!J$62/1000</f>
        <v>0</v>
      </c>
      <c r="T189" s="440">
        <f>'Imp-Other -Autre'!K$62/1000</f>
        <v>0</v>
      </c>
      <c r="U189" s="440">
        <f>'Imp-Other -Autre'!L$62/1000</f>
        <v>0</v>
      </c>
      <c r="V189" s="490">
        <f t="shared" si="54"/>
        <v>0</v>
      </c>
      <c r="W189" s="491">
        <f t="shared" si="54"/>
        <v>0</v>
      </c>
      <c r="X189" s="491">
        <f t="shared" si="54"/>
        <v>0</v>
      </c>
      <c r="Y189" s="491">
        <f t="shared" si="54"/>
        <v>0</v>
      </c>
      <c r="Z189" s="491">
        <f t="shared" si="54"/>
        <v>0</v>
      </c>
      <c r="AA189" s="491">
        <f t="shared" si="54"/>
        <v>0</v>
      </c>
      <c r="AB189" s="491">
        <f t="shared" si="54"/>
        <v>0</v>
      </c>
      <c r="AC189" s="492">
        <f t="shared" si="54"/>
        <v>0</v>
      </c>
    </row>
    <row r="190" spans="1:29" x14ac:dyDescent="0.25">
      <c r="A190" s="493" t="str">
        <f t="shared" si="46"/>
        <v>Don't</v>
      </c>
      <c r="B190" s="461" t="str">
        <f>B189</f>
        <v>Other Countries</v>
      </c>
      <c r="D190" t="str">
        <f>'Imp-US'!B$60</f>
        <v xml:space="preserve">Client 2 - </v>
      </c>
      <c r="E190" s="505">
        <f t="shared" si="50"/>
        <v>0</v>
      </c>
      <c r="F190" s="442">
        <f>'Imp-Other -Autre'!E$65</f>
        <v>0</v>
      </c>
      <c r="G190" s="443">
        <f>'Imp-Other -Autre'!F$65</f>
        <v>0</v>
      </c>
      <c r="H190" s="443">
        <f>'Imp-Other -Autre'!G$65</f>
        <v>0</v>
      </c>
      <c r="I190" s="443">
        <f>'Imp-Other -Autre'!H$65</f>
        <v>0</v>
      </c>
      <c r="J190" s="443">
        <f>'Imp-Other -Autre'!I$65</f>
        <v>0</v>
      </c>
      <c r="K190" s="443">
        <f>'Imp-Other -Autre'!J$65</f>
        <v>0</v>
      </c>
      <c r="L190" s="443">
        <f>'Imp-Other -Autre'!K$65</f>
        <v>0</v>
      </c>
      <c r="M190" s="443">
        <f>'Imp-Other -Autre'!L$65</f>
        <v>0</v>
      </c>
      <c r="N190" s="442">
        <f>'Imp-Other -Autre'!E$66/1000</f>
        <v>0</v>
      </c>
      <c r="O190" s="443">
        <f>'Imp-Other -Autre'!F$66/1000</f>
        <v>0</v>
      </c>
      <c r="P190" s="443">
        <f>'Imp-Other -Autre'!G$66/1000</f>
        <v>0</v>
      </c>
      <c r="Q190" s="443">
        <f>'Imp-Other -Autre'!H$66/1000</f>
        <v>0</v>
      </c>
      <c r="R190" s="443">
        <f>'Imp-Other -Autre'!I$66/1000</f>
        <v>0</v>
      </c>
      <c r="S190" s="443">
        <f>'Imp-Other -Autre'!J$66/1000</f>
        <v>0</v>
      </c>
      <c r="T190" s="443">
        <f>'Imp-Other -Autre'!K$66/1000</f>
        <v>0</v>
      </c>
      <c r="U190" s="443">
        <f>'Imp-Other -Autre'!L$66/1000</f>
        <v>0</v>
      </c>
      <c r="V190" s="490">
        <f t="shared" si="54"/>
        <v>0</v>
      </c>
      <c r="W190" s="491">
        <f t="shared" si="54"/>
        <v>0</v>
      </c>
      <c r="X190" s="491">
        <f t="shared" si="54"/>
        <v>0</v>
      </c>
      <c r="Y190" s="491">
        <f t="shared" si="54"/>
        <v>0</v>
      </c>
      <c r="Z190" s="491">
        <f t="shared" si="54"/>
        <v>0</v>
      </c>
      <c r="AA190" s="491">
        <f t="shared" si="54"/>
        <v>0</v>
      </c>
      <c r="AB190" s="491">
        <f t="shared" si="54"/>
        <v>0</v>
      </c>
      <c r="AC190" s="492">
        <f t="shared" si="54"/>
        <v>0</v>
      </c>
    </row>
    <row r="191" spans="1:29" x14ac:dyDescent="0.25">
      <c r="A191" s="493" t="str">
        <f t="shared" si="46"/>
        <v>Don't</v>
      </c>
      <c r="B191" s="461" t="str">
        <f>B190</f>
        <v>Other Countries</v>
      </c>
      <c r="D191" t="str">
        <f>'Imp-US'!B$64</f>
        <v xml:space="preserve">Client 3 - </v>
      </c>
      <c r="E191" s="505">
        <f t="shared" si="50"/>
        <v>0</v>
      </c>
      <c r="F191" s="439">
        <f>'Imp-Other -Autre'!E$69</f>
        <v>0</v>
      </c>
      <c r="G191" s="440">
        <f>'Imp-Other -Autre'!F$69</f>
        <v>0</v>
      </c>
      <c r="H191" s="440">
        <f>'Imp-Other -Autre'!G$69</f>
        <v>0</v>
      </c>
      <c r="I191" s="440">
        <f>'Imp-Other -Autre'!H$69</f>
        <v>0</v>
      </c>
      <c r="J191" s="440">
        <f>'Imp-Other -Autre'!I$69</f>
        <v>0</v>
      </c>
      <c r="K191" s="440">
        <f>'Imp-Other -Autre'!J$69</f>
        <v>0</v>
      </c>
      <c r="L191" s="440">
        <f>'Imp-Other -Autre'!K$69</f>
        <v>0</v>
      </c>
      <c r="M191" s="440">
        <f>'Imp-Other -Autre'!L$69</f>
        <v>0</v>
      </c>
      <c r="N191" s="439">
        <f>'Imp-Other -Autre'!E$70/1000</f>
        <v>0</v>
      </c>
      <c r="O191" s="440">
        <f>'Imp-Other -Autre'!F$70/1000</f>
        <v>0</v>
      </c>
      <c r="P191" s="440">
        <f>'Imp-Other -Autre'!G$70/1000</f>
        <v>0</v>
      </c>
      <c r="Q191" s="440">
        <f>'Imp-Other -Autre'!H$70/1000</f>
        <v>0</v>
      </c>
      <c r="R191" s="440">
        <f>'Imp-Other -Autre'!I$70/1000</f>
        <v>0</v>
      </c>
      <c r="S191" s="440">
        <f>'Imp-Other -Autre'!J$70/1000</f>
        <v>0</v>
      </c>
      <c r="T191" s="440">
        <f>'Imp-Other -Autre'!K$70/1000</f>
        <v>0</v>
      </c>
      <c r="U191" s="440">
        <f>'Imp-Other -Autre'!L$70/1000</f>
        <v>0</v>
      </c>
      <c r="V191" s="490">
        <f t="shared" si="54"/>
        <v>0</v>
      </c>
      <c r="W191" s="491">
        <f t="shared" si="54"/>
        <v>0</v>
      </c>
      <c r="X191" s="491">
        <f t="shared" si="54"/>
        <v>0</v>
      </c>
      <c r="Y191" s="491">
        <f t="shared" si="54"/>
        <v>0</v>
      </c>
      <c r="Z191" s="491">
        <f t="shared" si="54"/>
        <v>0</v>
      </c>
      <c r="AA191" s="491">
        <f t="shared" si="54"/>
        <v>0</v>
      </c>
      <c r="AB191" s="491">
        <f t="shared" si="54"/>
        <v>0</v>
      </c>
      <c r="AC191" s="492">
        <f t="shared" si="54"/>
        <v>0</v>
      </c>
    </row>
    <row r="192" spans="1:29" x14ac:dyDescent="0.25">
      <c r="A192" s="493" t="str">
        <f t="shared" si="46"/>
        <v>Don't</v>
      </c>
      <c r="B192" s="461" t="str">
        <f>B191</f>
        <v>Other Countries</v>
      </c>
      <c r="D192" t="str">
        <f>'Imp-US'!B$68</f>
        <v xml:space="preserve">Client 4 - </v>
      </c>
      <c r="E192" s="505">
        <f>E187</f>
        <v>0</v>
      </c>
      <c r="F192" s="442">
        <f>'Imp-Other -Autre'!E$73</f>
        <v>0</v>
      </c>
      <c r="G192" s="443">
        <f>'Imp-Other -Autre'!F$73</f>
        <v>0</v>
      </c>
      <c r="H192" s="443">
        <f>'Imp-Other -Autre'!G$73</f>
        <v>0</v>
      </c>
      <c r="I192" s="443">
        <f>'Imp-Other -Autre'!H$73</f>
        <v>0</v>
      </c>
      <c r="J192" s="443">
        <f>'Imp-Other -Autre'!I$73</f>
        <v>0</v>
      </c>
      <c r="K192" s="443">
        <f>'Imp-Other -Autre'!J$73</f>
        <v>0</v>
      </c>
      <c r="L192" s="443">
        <f>'Imp-Other -Autre'!K$73</f>
        <v>0</v>
      </c>
      <c r="M192" s="443">
        <f>'Imp-Other -Autre'!L$73</f>
        <v>0</v>
      </c>
      <c r="N192" s="442">
        <f>'Imp-Other -Autre'!E$74/1000</f>
        <v>0</v>
      </c>
      <c r="O192" s="443">
        <f>'Imp-Other -Autre'!F$74/1000</f>
        <v>0</v>
      </c>
      <c r="P192" s="443">
        <f>'Imp-Other -Autre'!G$74/1000</f>
        <v>0</v>
      </c>
      <c r="Q192" s="443">
        <f>'Imp-Other -Autre'!H$74/1000</f>
        <v>0</v>
      </c>
      <c r="R192" s="443">
        <f>'Imp-Other -Autre'!I$74/1000</f>
        <v>0</v>
      </c>
      <c r="S192" s="443">
        <f>'Imp-Other -Autre'!J$74/1000</f>
        <v>0</v>
      </c>
      <c r="T192" s="443">
        <f>'Imp-Other -Autre'!K$74/1000</f>
        <v>0</v>
      </c>
      <c r="U192" s="443">
        <f>'Imp-Other -Autre'!L$74/1000</f>
        <v>0</v>
      </c>
      <c r="V192" s="490">
        <f t="shared" si="54"/>
        <v>0</v>
      </c>
      <c r="W192" s="491">
        <f t="shared" si="54"/>
        <v>0</v>
      </c>
      <c r="X192" s="491">
        <f t="shared" si="54"/>
        <v>0</v>
      </c>
      <c r="Y192" s="491">
        <f t="shared" si="54"/>
        <v>0</v>
      </c>
      <c r="Z192" s="491">
        <f t="shared" si="54"/>
        <v>0</v>
      </c>
      <c r="AA192" s="491">
        <f t="shared" si="54"/>
        <v>0</v>
      </c>
      <c r="AB192" s="491">
        <f t="shared" si="54"/>
        <v>0</v>
      </c>
      <c r="AC192" s="492">
        <f t="shared" si="54"/>
        <v>0</v>
      </c>
    </row>
    <row r="193" spans="1:29" x14ac:dyDescent="0.25">
      <c r="A193" s="493" t="str">
        <f t="shared" si="46"/>
        <v>Don't</v>
      </c>
      <c r="B193" s="494" t="s">
        <v>582</v>
      </c>
      <c r="C193" s="495"/>
      <c r="D193" s="495" t="s">
        <v>621</v>
      </c>
      <c r="E193" s="506">
        <f>E188</f>
        <v>0</v>
      </c>
      <c r="F193" s="439">
        <f>'Other Measures|Autre Mesures'!E$57</f>
        <v>0</v>
      </c>
      <c r="G193" s="440">
        <f>'Other Measures|Autre Mesures'!F$57</f>
        <v>0</v>
      </c>
      <c r="H193" s="440">
        <f>'Other Measures|Autre Mesures'!G$57</f>
        <v>0</v>
      </c>
      <c r="I193" s="440">
        <f>'Other Measures|Autre Mesures'!H$57</f>
        <v>0</v>
      </c>
      <c r="J193" s="440">
        <f>'Other Measures|Autre Mesures'!I$57</f>
        <v>0</v>
      </c>
      <c r="K193" s="440">
        <f>'Other Measures|Autre Mesures'!J$57</f>
        <v>0</v>
      </c>
      <c r="L193" s="440">
        <f>'Other Measures|Autre Mesures'!K$57</f>
        <v>0</v>
      </c>
      <c r="M193" s="440">
        <f>'Other Measures|Autre Mesures'!L$57</f>
        <v>0</v>
      </c>
      <c r="N193" s="439">
        <f>'Other Measures|Autre Mesures'!E$58/1000</f>
        <v>0</v>
      </c>
      <c r="O193" s="440">
        <f>'Other Measures|Autre Mesures'!F$58/1000</f>
        <v>0</v>
      </c>
      <c r="P193" s="440">
        <f>'Other Measures|Autre Mesures'!G$58/1000</f>
        <v>0</v>
      </c>
      <c r="Q193" s="440">
        <f>'Other Measures|Autre Mesures'!H$58/1000</f>
        <v>0</v>
      </c>
      <c r="R193" s="440">
        <f>'Other Measures|Autre Mesures'!I$58/1000</f>
        <v>0</v>
      </c>
      <c r="S193" s="440">
        <f>'Other Measures|Autre Mesures'!J$58/1000</f>
        <v>0</v>
      </c>
      <c r="T193" s="440">
        <f>'Other Measures|Autre Mesures'!K$58/1000</f>
        <v>0</v>
      </c>
      <c r="U193" s="440">
        <f>'Other Measures|Autre Mesures'!L$58/1000</f>
        <v>0</v>
      </c>
      <c r="V193" s="490">
        <f t="shared" si="54"/>
        <v>0</v>
      </c>
      <c r="W193" s="491">
        <f t="shared" si="54"/>
        <v>0</v>
      </c>
      <c r="X193" s="491">
        <f t="shared" si="54"/>
        <v>0</v>
      </c>
      <c r="Y193" s="491">
        <f t="shared" si="54"/>
        <v>0</v>
      </c>
      <c r="Z193" s="491">
        <f t="shared" si="54"/>
        <v>0</v>
      </c>
      <c r="AA193" s="491">
        <f t="shared" si="54"/>
        <v>0</v>
      </c>
      <c r="AB193" s="491">
        <f t="shared" si="54"/>
        <v>0</v>
      </c>
      <c r="AC193" s="492">
        <f t="shared" si="54"/>
        <v>0</v>
      </c>
    </row>
    <row r="194" spans="1:29" x14ac:dyDescent="0.25">
      <c r="A194" s="493" t="str">
        <f t="shared" si="46"/>
        <v>Don't</v>
      </c>
      <c r="B194" s="461" t="str">
        <f>B193</f>
        <v>Other Countries with measures</v>
      </c>
      <c r="D194" t="s">
        <v>622</v>
      </c>
      <c r="E194" s="505">
        <f t="shared" si="50"/>
        <v>0</v>
      </c>
      <c r="F194" s="442">
        <f>'Other Measures|Autre Mesures'!E$61</f>
        <v>0</v>
      </c>
      <c r="G194" s="443">
        <f>'Other Measures|Autre Mesures'!F$61</f>
        <v>0</v>
      </c>
      <c r="H194" s="443">
        <f>'Other Measures|Autre Mesures'!G$61</f>
        <v>0</v>
      </c>
      <c r="I194" s="443">
        <f>'Other Measures|Autre Mesures'!H$61</f>
        <v>0</v>
      </c>
      <c r="J194" s="443">
        <f>'Other Measures|Autre Mesures'!I$61</f>
        <v>0</v>
      </c>
      <c r="K194" s="443">
        <f>'Other Measures|Autre Mesures'!J$61</f>
        <v>0</v>
      </c>
      <c r="L194" s="443">
        <f>'Other Measures|Autre Mesures'!K$61</f>
        <v>0</v>
      </c>
      <c r="M194" s="443">
        <f>'Other Measures|Autre Mesures'!L$61</f>
        <v>0</v>
      </c>
      <c r="N194" s="442">
        <f>'Other Measures|Autre Mesures'!E$62/1000</f>
        <v>0</v>
      </c>
      <c r="O194" s="443">
        <f>'Other Measures|Autre Mesures'!F$62/1000</f>
        <v>0</v>
      </c>
      <c r="P194" s="443">
        <f>'Other Measures|Autre Mesures'!G$62/1000</f>
        <v>0</v>
      </c>
      <c r="Q194" s="443">
        <f>'Other Measures|Autre Mesures'!H$62/1000</f>
        <v>0</v>
      </c>
      <c r="R194" s="443">
        <f>'Other Measures|Autre Mesures'!I$62/1000</f>
        <v>0</v>
      </c>
      <c r="S194" s="443">
        <f>'Other Measures|Autre Mesures'!J$62/1000</f>
        <v>0</v>
      </c>
      <c r="T194" s="443">
        <f>'Other Measures|Autre Mesures'!K$62/1000</f>
        <v>0</v>
      </c>
      <c r="U194" s="443">
        <f>'Other Measures|Autre Mesures'!L$62/1000</f>
        <v>0</v>
      </c>
      <c r="V194" s="490">
        <f t="shared" si="54"/>
        <v>0</v>
      </c>
      <c r="W194" s="491">
        <f t="shared" si="54"/>
        <v>0</v>
      </c>
      <c r="X194" s="491">
        <f t="shared" si="54"/>
        <v>0</v>
      </c>
      <c r="Y194" s="491">
        <f t="shared" si="54"/>
        <v>0</v>
      </c>
      <c r="Z194" s="491">
        <f t="shared" si="54"/>
        <v>0</v>
      </c>
      <c r="AA194" s="491">
        <f t="shared" si="54"/>
        <v>0</v>
      </c>
      <c r="AB194" s="491">
        <f t="shared" si="54"/>
        <v>0</v>
      </c>
      <c r="AC194" s="492">
        <f t="shared" si="54"/>
        <v>0</v>
      </c>
    </row>
    <row r="195" spans="1:29" x14ac:dyDescent="0.25">
      <c r="A195" s="493" t="str">
        <f t="shared" si="46"/>
        <v>Don't</v>
      </c>
      <c r="B195" s="461" t="str">
        <f>B194</f>
        <v>Other Countries with measures</v>
      </c>
      <c r="D195" t="s">
        <v>623</v>
      </c>
      <c r="E195" s="505">
        <f t="shared" si="50"/>
        <v>0</v>
      </c>
      <c r="F195" s="439">
        <f>'Other Measures|Autre Mesures'!E$65</f>
        <v>0</v>
      </c>
      <c r="G195" s="440">
        <f>'Other Measures|Autre Mesures'!F$65</f>
        <v>0</v>
      </c>
      <c r="H195" s="440">
        <f>'Other Measures|Autre Mesures'!G$65</f>
        <v>0</v>
      </c>
      <c r="I195" s="440">
        <f>'Other Measures|Autre Mesures'!H$65</f>
        <v>0</v>
      </c>
      <c r="J195" s="440">
        <f>'Other Measures|Autre Mesures'!I$65</f>
        <v>0</v>
      </c>
      <c r="K195" s="440">
        <f>'Other Measures|Autre Mesures'!J$65</f>
        <v>0</v>
      </c>
      <c r="L195" s="440">
        <f>'Other Measures|Autre Mesures'!K$65</f>
        <v>0</v>
      </c>
      <c r="M195" s="440">
        <f>'Other Measures|Autre Mesures'!L$65</f>
        <v>0</v>
      </c>
      <c r="N195" s="439">
        <f>'Other Measures|Autre Mesures'!E$66/1000</f>
        <v>0</v>
      </c>
      <c r="O195" s="440">
        <f>'Other Measures|Autre Mesures'!F$66/1000</f>
        <v>0</v>
      </c>
      <c r="P195" s="440">
        <f>'Other Measures|Autre Mesures'!G$66/1000</f>
        <v>0</v>
      </c>
      <c r="Q195" s="440">
        <f>'Other Measures|Autre Mesures'!H$66/1000</f>
        <v>0</v>
      </c>
      <c r="R195" s="440">
        <f>'Other Measures|Autre Mesures'!I$66/1000</f>
        <v>0</v>
      </c>
      <c r="S195" s="440">
        <f>'Other Measures|Autre Mesures'!J$66/1000</f>
        <v>0</v>
      </c>
      <c r="T195" s="440">
        <f>'Other Measures|Autre Mesures'!K$66/1000</f>
        <v>0</v>
      </c>
      <c r="U195" s="440">
        <f>'Other Measures|Autre Mesures'!L$66/1000</f>
        <v>0</v>
      </c>
      <c r="V195" s="490">
        <f t="shared" si="54"/>
        <v>0</v>
      </c>
      <c r="W195" s="491">
        <f t="shared" si="54"/>
        <v>0</v>
      </c>
      <c r="X195" s="491">
        <f t="shared" si="54"/>
        <v>0</v>
      </c>
      <c r="Y195" s="491">
        <f t="shared" si="54"/>
        <v>0</v>
      </c>
      <c r="Z195" s="491">
        <f t="shared" si="54"/>
        <v>0</v>
      </c>
      <c r="AA195" s="491">
        <f t="shared" si="54"/>
        <v>0</v>
      </c>
      <c r="AB195" s="491">
        <f t="shared" si="54"/>
        <v>0</v>
      </c>
      <c r="AC195" s="492">
        <f t="shared" si="54"/>
        <v>0</v>
      </c>
    </row>
    <row r="196" spans="1:29" x14ac:dyDescent="0.25">
      <c r="A196" s="493" t="str">
        <f t="shared" si="46"/>
        <v>Don't</v>
      </c>
      <c r="B196" s="461" t="str">
        <f>B195</f>
        <v>Other Countries with measures</v>
      </c>
      <c r="D196" t="s">
        <v>624</v>
      </c>
      <c r="E196" s="505">
        <f t="shared" si="50"/>
        <v>0</v>
      </c>
      <c r="F196" s="442">
        <f>'Other Measures|Autre Mesures'!E$69</f>
        <v>0</v>
      </c>
      <c r="G196" s="443">
        <f>'Other Measures|Autre Mesures'!F$69</f>
        <v>0</v>
      </c>
      <c r="H196" s="443">
        <f>'Other Measures|Autre Mesures'!G$69</f>
        <v>0</v>
      </c>
      <c r="I196" s="443">
        <f>'Other Measures|Autre Mesures'!H$69</f>
        <v>0</v>
      </c>
      <c r="J196" s="443">
        <f>'Other Measures|Autre Mesures'!I$69</f>
        <v>0</v>
      </c>
      <c r="K196" s="443">
        <f>'Other Measures|Autre Mesures'!J$69</f>
        <v>0</v>
      </c>
      <c r="L196" s="443">
        <f>'Other Measures|Autre Mesures'!K$69</f>
        <v>0</v>
      </c>
      <c r="M196" s="443">
        <f>'Other Measures|Autre Mesures'!L$69</f>
        <v>0</v>
      </c>
      <c r="N196" s="442">
        <f>'Other Measures|Autre Mesures'!E$70/1000</f>
        <v>0</v>
      </c>
      <c r="O196" s="443">
        <f>'Other Measures|Autre Mesures'!F$70/1000</f>
        <v>0</v>
      </c>
      <c r="P196" s="443">
        <f>'Other Measures|Autre Mesures'!G$70/1000</f>
        <v>0</v>
      </c>
      <c r="Q196" s="443">
        <f>'Other Measures|Autre Mesures'!H$70/1000</f>
        <v>0</v>
      </c>
      <c r="R196" s="443">
        <f>'Other Measures|Autre Mesures'!I$70/1000</f>
        <v>0</v>
      </c>
      <c r="S196" s="443">
        <f>'Other Measures|Autre Mesures'!J$70/1000</f>
        <v>0</v>
      </c>
      <c r="T196" s="443">
        <f>'Other Measures|Autre Mesures'!K$70/1000</f>
        <v>0</v>
      </c>
      <c r="U196" s="443">
        <f>'Other Measures|Autre Mesures'!L$70/1000</f>
        <v>0</v>
      </c>
      <c r="V196" s="490">
        <f t="shared" si="54"/>
        <v>0</v>
      </c>
      <c r="W196" s="491">
        <f t="shared" si="54"/>
        <v>0</v>
      </c>
      <c r="X196" s="491">
        <f t="shared" si="54"/>
        <v>0</v>
      </c>
      <c r="Y196" s="491">
        <f t="shared" si="54"/>
        <v>0</v>
      </c>
      <c r="Z196" s="491">
        <f t="shared" si="54"/>
        <v>0</v>
      </c>
      <c r="AA196" s="491">
        <f t="shared" si="54"/>
        <v>0</v>
      </c>
      <c r="AB196" s="491">
        <f t="shared" si="54"/>
        <v>0</v>
      </c>
      <c r="AC196" s="492">
        <f t="shared" si="54"/>
        <v>0</v>
      </c>
    </row>
    <row r="197" spans="1:29" ht="15.75" thickBot="1" x14ac:dyDescent="0.3">
      <c r="A197" s="507" t="str">
        <f t="shared" si="46"/>
        <v>Don't</v>
      </c>
      <c r="B197" s="463" t="str">
        <f>B196</f>
        <v>Other Countries with measures</v>
      </c>
      <c r="C197" s="464"/>
      <c r="D197" s="464" t="s">
        <v>625</v>
      </c>
      <c r="E197" s="508">
        <f>E192</f>
        <v>0</v>
      </c>
      <c r="F197" s="439">
        <f>'Other Measures|Autre Mesures'!E$73</f>
        <v>0</v>
      </c>
      <c r="G197" s="440">
        <f>'Other Measures|Autre Mesures'!F$73</f>
        <v>0</v>
      </c>
      <c r="H197" s="440">
        <f>'Other Measures|Autre Mesures'!G$73</f>
        <v>0</v>
      </c>
      <c r="I197" s="440">
        <f>'Other Measures|Autre Mesures'!H$73</f>
        <v>0</v>
      </c>
      <c r="J197" s="440">
        <f>'Other Measures|Autre Mesures'!I$73</f>
        <v>0</v>
      </c>
      <c r="K197" s="440">
        <f>'Other Measures|Autre Mesures'!J$73</f>
        <v>0</v>
      </c>
      <c r="L197" s="440">
        <f>'Other Measures|Autre Mesures'!K$73</f>
        <v>0</v>
      </c>
      <c r="M197" s="440">
        <f>'Other Measures|Autre Mesures'!L$73</f>
        <v>0</v>
      </c>
      <c r="N197" s="439">
        <f>'Other Measures|Autre Mesures'!E$74/1000</f>
        <v>0</v>
      </c>
      <c r="O197" s="440">
        <f>'Other Measures|Autre Mesures'!F$74/1000</f>
        <v>0</v>
      </c>
      <c r="P197" s="440">
        <f>'Other Measures|Autre Mesures'!G$74/1000</f>
        <v>0</v>
      </c>
      <c r="Q197" s="440">
        <f>'Other Measures|Autre Mesures'!H$74/1000</f>
        <v>0</v>
      </c>
      <c r="R197" s="440">
        <f>'Other Measures|Autre Mesures'!I$74/1000</f>
        <v>0</v>
      </c>
      <c r="S197" s="440">
        <f>'Other Measures|Autre Mesures'!J$74/1000</f>
        <v>0</v>
      </c>
      <c r="T197" s="440">
        <f>'Other Measures|Autre Mesures'!K$74/1000</f>
        <v>0</v>
      </c>
      <c r="U197" s="440">
        <f>'Other Measures|Autre Mesures'!L$74/1000</f>
        <v>0</v>
      </c>
      <c r="V197" s="509">
        <f t="shared" si="54"/>
        <v>0</v>
      </c>
      <c r="W197" s="510">
        <f t="shared" si="54"/>
        <v>0</v>
      </c>
      <c r="X197" s="510">
        <f t="shared" si="54"/>
        <v>0</v>
      </c>
      <c r="Y197" s="510">
        <f t="shared" si="54"/>
        <v>0</v>
      </c>
      <c r="Z197" s="510">
        <f t="shared" si="54"/>
        <v>0</v>
      </c>
      <c r="AA197" s="510">
        <f t="shared" si="54"/>
        <v>0</v>
      </c>
      <c r="AB197" s="510">
        <f t="shared" si="54"/>
        <v>0</v>
      </c>
      <c r="AC197" s="511">
        <f>(IF(ISERROR(U197/M197),0,U197/M197))*1000</f>
        <v>0</v>
      </c>
    </row>
    <row r="198" spans="1:29" x14ac:dyDescent="0.25">
      <c r="E198" s="466" t="s">
        <v>598</v>
      </c>
      <c r="F198" s="467">
        <f>SUM(F163:F197)</f>
        <v>0</v>
      </c>
      <c r="G198" s="467">
        <f t="shared" ref="G198:L198" si="55">SUM(G163:G197)</f>
        <v>0</v>
      </c>
      <c r="H198" s="467">
        <f t="shared" si="55"/>
        <v>0</v>
      </c>
      <c r="I198" s="467">
        <f t="shared" si="55"/>
        <v>0</v>
      </c>
      <c r="J198" s="467">
        <f t="shared" si="55"/>
        <v>0</v>
      </c>
      <c r="K198" s="467">
        <f t="shared" si="55"/>
        <v>0</v>
      </c>
      <c r="L198" s="467">
        <f t="shared" si="55"/>
        <v>0</v>
      </c>
      <c r="M198" s="467">
        <f>SUM(M163:M197)</f>
        <v>0</v>
      </c>
      <c r="N198" s="467">
        <f>SUM(N163:N197)</f>
        <v>0</v>
      </c>
      <c r="O198" s="467">
        <f t="shared" ref="O198:T198" si="56">SUM(O163:O197)</f>
        <v>0</v>
      </c>
      <c r="P198" s="467">
        <f t="shared" si="56"/>
        <v>0</v>
      </c>
      <c r="Q198" s="467">
        <f t="shared" si="56"/>
        <v>0</v>
      </c>
      <c r="R198" s="467">
        <f t="shared" si="56"/>
        <v>0</v>
      </c>
      <c r="S198" s="467">
        <f t="shared" si="56"/>
        <v>0</v>
      </c>
      <c r="T198" s="467">
        <f t="shared" si="56"/>
        <v>0</v>
      </c>
      <c r="U198" s="468">
        <f>SUM(U163:U197)</f>
        <v>0</v>
      </c>
    </row>
    <row r="199" spans="1:29" x14ac:dyDescent="0.25">
      <c r="E199" s="461"/>
      <c r="F199" s="469">
        <f>SUM('Begin:End2'!E$57,'Begin:End2'!E$61,'Begin:End2'!E$65,'Begin:End2'!E$69,'Begin:End2'!E$73)</f>
        <v>0</v>
      </c>
      <c r="G199" s="469">
        <f>SUM('Begin:End2'!F$57,'Begin:End2'!F$61,'Begin:End2'!F$65,'Begin:End2'!F$69,'Begin:End2'!F$73)</f>
        <v>0</v>
      </c>
      <c r="H199" s="469">
        <f>SUM('Begin:End2'!G$57,'Begin:End2'!G$61,'Begin:End2'!G$65,'Begin:End2'!G$69,'Begin:End2'!G$73)</f>
        <v>0</v>
      </c>
      <c r="I199" s="469">
        <f>SUM('Begin:End2'!H$57,'Begin:End2'!H$61,'Begin:End2'!H$65,'Begin:End2'!H$69,'Begin:End2'!H$73)</f>
        <v>0</v>
      </c>
      <c r="J199" s="469">
        <f>SUM('Begin:End2'!I$57,'Begin:End2'!I$61,'Begin:End2'!I$65,'Begin:End2'!I$69,'Begin:End2'!I$73)</f>
        <v>0</v>
      </c>
      <c r="K199" s="469">
        <f>SUM('Begin:End2'!J$57,'Begin:End2'!J$61,'Begin:End2'!J$65,'Begin:End2'!J$69,'Begin:End2'!J$73)</f>
        <v>0</v>
      </c>
      <c r="L199" s="469">
        <f>SUM('Begin:End2'!K$57,'Begin:End2'!K$61,'Begin:End2'!K$65,'Begin:End2'!K$69,'Begin:End2'!K$73)</f>
        <v>0</v>
      </c>
      <c r="M199" s="469">
        <f>SUM('Begin:End2'!L$57,'Begin:End2'!L$61,'Begin:End2'!L$65,'Begin:End2'!L$69,'Begin:End2'!L$73)</f>
        <v>0</v>
      </c>
      <c r="N199" s="469">
        <f>SUM('Begin:End2'!E$58,'Begin:End2'!E$62,'Begin:End2'!E$66,'Begin:End2'!E$70,'Begin:End2'!E$74)/1000</f>
        <v>0</v>
      </c>
      <c r="O199" s="469">
        <f>SUM('Begin:End2'!F$58,'Begin:End2'!F$62,'Begin:End2'!F$66,'Begin:End2'!F$70,'Begin:End2'!F$74)/1000</f>
        <v>0</v>
      </c>
      <c r="P199" s="469">
        <f>SUM('Begin:End2'!G$58,'Begin:End2'!G$62,'Begin:End2'!G$66,'Begin:End2'!G$70,'Begin:End2'!G$74)/1000</f>
        <v>0</v>
      </c>
      <c r="Q199" s="469">
        <f>SUM('Begin:End2'!H$58,'Begin:End2'!H$62,'Begin:End2'!H$66,'Begin:End2'!H$70,'Begin:End2'!H$74)/1000</f>
        <v>0</v>
      </c>
      <c r="R199" s="469">
        <f>SUM('Begin:End2'!I$58,'Begin:End2'!I$62,'Begin:End2'!I$66,'Begin:End2'!I$70,'Begin:End2'!I$74)/1000</f>
        <v>0</v>
      </c>
      <c r="S199" s="469">
        <f>SUM('Begin:End2'!J$58,'Begin:End2'!J$62,'Begin:End2'!J$66,'Begin:End2'!J$70,'Begin:End2'!J$74)/1000</f>
        <v>0</v>
      </c>
      <c r="T199" s="469">
        <f>SUM('Begin:End2'!K$58,'Begin:End2'!K$62,'Begin:End2'!K$66,'Begin:End2'!K$70,'Begin:End2'!K$74)/1000</f>
        <v>0</v>
      </c>
      <c r="U199" s="470">
        <f>SUM('Begin:End2'!L$58,'Begin:End2'!L$62,'Begin:End2'!L$66,'Begin:End2'!L$70,'Begin:End2'!L$74)/1000</f>
        <v>0</v>
      </c>
    </row>
    <row r="200" spans="1:29" ht="15.75" thickBot="1" x14ac:dyDescent="0.3">
      <c r="E200" s="463"/>
      <c r="F200" s="452" t="b">
        <f>F198=F199</f>
        <v>1</v>
      </c>
      <c r="G200" s="452" t="b">
        <f t="shared" ref="G200:U200" si="57">G198=G199</f>
        <v>1</v>
      </c>
      <c r="H200" s="452" t="b">
        <f t="shared" si="57"/>
        <v>1</v>
      </c>
      <c r="I200" s="452" t="b">
        <f t="shared" si="57"/>
        <v>1</v>
      </c>
      <c r="J200" s="452" t="b">
        <f t="shared" si="57"/>
        <v>1</v>
      </c>
      <c r="K200" s="452" t="b">
        <f t="shared" si="57"/>
        <v>1</v>
      </c>
      <c r="L200" s="452" t="b">
        <f t="shared" si="57"/>
        <v>1</v>
      </c>
      <c r="M200" s="452" t="b">
        <f t="shared" si="57"/>
        <v>1</v>
      </c>
      <c r="N200" s="452" t="b">
        <f t="shared" si="57"/>
        <v>1</v>
      </c>
      <c r="O200" s="452" t="b">
        <f t="shared" si="57"/>
        <v>1</v>
      </c>
      <c r="P200" s="452" t="b">
        <f t="shared" si="57"/>
        <v>1</v>
      </c>
      <c r="Q200" s="452" t="b">
        <f t="shared" si="57"/>
        <v>1</v>
      </c>
      <c r="R200" s="452" t="b">
        <f t="shared" si="57"/>
        <v>1</v>
      </c>
      <c r="S200" s="452" t="b">
        <f t="shared" si="57"/>
        <v>1</v>
      </c>
      <c r="T200" s="452" t="b">
        <f t="shared" si="57"/>
        <v>1</v>
      </c>
      <c r="U200" s="453" t="b">
        <f t="shared" si="57"/>
        <v>1</v>
      </c>
    </row>
  </sheetData>
  <sheetProtection algorithmName="SHA-512" hashValue="CtH8JNXxWGDb1jAUZ95D4j98iCRnXC53BZReyFvxJvPORRkepa6NhOO1LYKqfACpgPEHq2OCBpAmhNTXLJ/MPA==" saltValue="IW+VvTqqppE6nyZIkKPcGw==" spinCount="100000" sheet="1" objects="1" scenarios="1" selectLockedCells="1"/>
  <mergeCells count="6">
    <mergeCell ref="B161:E161"/>
    <mergeCell ref="B11:D11"/>
    <mergeCell ref="V11:AC11"/>
    <mergeCell ref="B12:E12"/>
    <mergeCell ref="B160:D160"/>
    <mergeCell ref="V160:AC160"/>
  </mergeCells>
  <conditionalFormatting sqref="A14:A153 A163:A197">
    <cfRule type="containsText" dxfId="10" priority="5" operator="containsText" text="Don't">
      <formula>NOT(ISERROR(SEARCH("Don't",A14)))</formula>
    </cfRule>
    <cfRule type="containsText" dxfId="9" priority="6" operator="containsText" text="Copy">
      <formula>NOT(ISERROR(SEARCH("Copy",A14)))</formula>
    </cfRule>
  </conditionalFormatting>
  <conditionalFormatting sqref="F10:J10">
    <cfRule type="containsText" dxfId="8" priority="1" operator="containsText" text="FALSE">
      <formula>NOT(ISERROR(SEARCH("FALSE",F10)))</formula>
    </cfRule>
    <cfRule type="containsText" dxfId="7" priority="2" operator="containsText" text="TRUE">
      <formula>NOT(ISERROR(SEARCH("TRUE",F10)))</formula>
    </cfRule>
  </conditionalFormatting>
  <conditionalFormatting sqref="F158:U158 F200:U200">
    <cfRule type="containsText" dxfId="6" priority="3" operator="containsText" text="FALSE">
      <formula>NOT(ISERROR(SEARCH("FALSE",F158)))</formula>
    </cfRule>
    <cfRule type="containsText" dxfId="5" priority="4" operator="containsText" text="TRUE">
      <formula>NOT(ISERROR(SEARCH("TRUE",F158)))</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52579-0CA8-4700-AF22-34EE0F35E3F9}">
  <sheetPr>
    <tabColor rgb="FFFFC000"/>
  </sheetPr>
  <dimension ref="A1:D64"/>
  <sheetViews>
    <sheetView topLeftCell="A7" workbookViewId="0">
      <selection activeCell="G24" sqref="G24"/>
    </sheetView>
  </sheetViews>
  <sheetFormatPr defaultColWidth="9.140625" defaultRowHeight="12.75" x14ac:dyDescent="0.2"/>
  <cols>
    <col min="1" max="1" width="9.140625" style="513"/>
    <col min="2" max="2" width="11.5703125" style="513" bestFit="1" customWidth="1"/>
    <col min="3" max="3" width="14.28515625" style="513" customWidth="1"/>
    <col min="4" max="4" width="208.28515625" style="513" customWidth="1"/>
    <col min="5" max="16384" width="9.140625" style="513"/>
  </cols>
  <sheetData>
    <row r="1" spans="1:4" x14ac:dyDescent="0.2">
      <c r="A1" s="512" t="s">
        <v>626</v>
      </c>
      <c r="B1" s="512" t="s">
        <v>627</v>
      </c>
      <c r="C1" s="512" t="s">
        <v>628</v>
      </c>
      <c r="D1" s="512" t="s">
        <v>629</v>
      </c>
    </row>
    <row r="2" spans="1:4" s="516" customFormat="1" x14ac:dyDescent="0.2">
      <c r="A2" s="514">
        <f>Intro!$E$69</f>
        <v>0</v>
      </c>
      <c r="B2" s="515" t="s">
        <v>630</v>
      </c>
      <c r="C2" s="515"/>
      <c r="D2" s="515"/>
    </row>
    <row r="3" spans="1:4" x14ac:dyDescent="0.2">
      <c r="A3" s="514">
        <f>A2</f>
        <v>0</v>
      </c>
      <c r="B3" s="517"/>
      <c r="C3" s="513" t="s">
        <v>631</v>
      </c>
      <c r="D3" s="518">
        <f>Public!B28</f>
        <v>0</v>
      </c>
    </row>
    <row r="4" spans="1:4" x14ac:dyDescent="0.2">
      <c r="A4" s="514">
        <f t="shared" ref="A4:A64" si="0">A3</f>
        <v>0</v>
      </c>
      <c r="B4" s="517"/>
      <c r="C4" s="513" t="s">
        <v>632</v>
      </c>
      <c r="D4" s="518">
        <f>Public!B70</f>
        <v>0</v>
      </c>
    </row>
    <row r="5" spans="1:4" x14ac:dyDescent="0.2">
      <c r="A5" s="514">
        <f t="shared" si="0"/>
        <v>0</v>
      </c>
      <c r="B5" s="517"/>
      <c r="C5" s="513" t="s">
        <v>633</v>
      </c>
      <c r="D5" s="518">
        <f>Public!B86</f>
        <v>0</v>
      </c>
    </row>
    <row r="6" spans="1:4" x14ac:dyDescent="0.2">
      <c r="A6" s="514">
        <f t="shared" si="0"/>
        <v>0</v>
      </c>
      <c r="B6" s="517"/>
      <c r="C6" s="513" t="s">
        <v>634</v>
      </c>
      <c r="D6" s="518">
        <f>Public!B100</f>
        <v>0</v>
      </c>
    </row>
    <row r="7" spans="1:4" x14ac:dyDescent="0.2">
      <c r="A7" s="514">
        <f t="shared" si="0"/>
        <v>0</v>
      </c>
      <c r="B7" s="517"/>
      <c r="C7" s="513" t="s">
        <v>635</v>
      </c>
      <c r="D7" s="518">
        <f>Public!B115</f>
        <v>0</v>
      </c>
    </row>
    <row r="8" spans="1:4" x14ac:dyDescent="0.2">
      <c r="A8" s="514">
        <f t="shared" si="0"/>
        <v>0</v>
      </c>
      <c r="B8" s="517"/>
      <c r="C8" s="513" t="s">
        <v>636</v>
      </c>
      <c r="D8" s="518">
        <f>Public!B134</f>
        <v>0</v>
      </c>
    </row>
    <row r="9" spans="1:4" x14ac:dyDescent="0.2">
      <c r="A9" s="514">
        <f t="shared" si="0"/>
        <v>0</v>
      </c>
      <c r="B9" s="517"/>
      <c r="C9" s="513" t="s">
        <v>637</v>
      </c>
      <c r="D9" s="518">
        <f>Public!H128</f>
        <v>0</v>
      </c>
    </row>
    <row r="10" spans="1:4" x14ac:dyDescent="0.2">
      <c r="A10" s="514">
        <f t="shared" si="0"/>
        <v>0</v>
      </c>
      <c r="B10" s="517"/>
      <c r="C10" s="513" t="s">
        <v>638</v>
      </c>
      <c r="D10" s="518">
        <f>Public!H129</f>
        <v>0</v>
      </c>
    </row>
    <row r="11" spans="1:4" x14ac:dyDescent="0.2">
      <c r="A11" s="514">
        <f t="shared" si="0"/>
        <v>0</v>
      </c>
      <c r="B11" s="517"/>
      <c r="C11" s="513" t="s">
        <v>639</v>
      </c>
      <c r="D11" s="518">
        <f>Public!H130</f>
        <v>0</v>
      </c>
    </row>
    <row r="12" spans="1:4" x14ac:dyDescent="0.2">
      <c r="A12" s="514">
        <f t="shared" si="0"/>
        <v>0</v>
      </c>
      <c r="B12" s="517"/>
      <c r="C12" s="513" t="s">
        <v>640</v>
      </c>
      <c r="D12" s="518">
        <f>Public!D149</f>
        <v>0</v>
      </c>
    </row>
    <row r="13" spans="1:4" x14ac:dyDescent="0.2">
      <c r="A13" s="514">
        <f t="shared" si="0"/>
        <v>0</v>
      </c>
      <c r="B13" s="517"/>
      <c r="C13" s="513" t="s">
        <v>641</v>
      </c>
      <c r="D13" s="518">
        <f>Public!D154</f>
        <v>0</v>
      </c>
    </row>
    <row r="14" spans="1:4" x14ac:dyDescent="0.2">
      <c r="A14" s="514">
        <f t="shared" si="0"/>
        <v>0</v>
      </c>
      <c r="B14" s="517"/>
      <c r="C14" s="513" t="s">
        <v>642</v>
      </c>
      <c r="D14" s="518">
        <f>Public!D159</f>
        <v>0</v>
      </c>
    </row>
    <row r="15" spans="1:4" x14ac:dyDescent="0.2">
      <c r="A15" s="514">
        <f t="shared" si="0"/>
        <v>0</v>
      </c>
      <c r="B15" s="517"/>
      <c r="C15" s="513" t="s">
        <v>643</v>
      </c>
      <c r="D15" s="518">
        <f>Public!B170</f>
        <v>0</v>
      </c>
    </row>
    <row r="16" spans="1:4" x14ac:dyDescent="0.2">
      <c r="A16" s="514">
        <f t="shared" si="0"/>
        <v>0</v>
      </c>
      <c r="B16" s="517"/>
      <c r="C16" s="513" t="s">
        <v>644</v>
      </c>
      <c r="D16" s="518">
        <f>Public!B184</f>
        <v>0</v>
      </c>
    </row>
    <row r="17" spans="1:4" x14ac:dyDescent="0.2">
      <c r="A17" s="514">
        <f t="shared" si="0"/>
        <v>0</v>
      </c>
      <c r="B17" s="517"/>
      <c r="C17" s="513" t="s">
        <v>645</v>
      </c>
      <c r="D17" s="518">
        <f>Public!B197</f>
        <v>0</v>
      </c>
    </row>
    <row r="18" spans="1:4" x14ac:dyDescent="0.2">
      <c r="A18" s="514">
        <f t="shared" si="0"/>
        <v>0</v>
      </c>
      <c r="B18" s="517"/>
      <c r="C18" s="513" t="s">
        <v>646</v>
      </c>
      <c r="D18" s="519">
        <f>Public!E210</f>
        <v>0</v>
      </c>
    </row>
    <row r="19" spans="1:4" x14ac:dyDescent="0.2">
      <c r="A19" s="514">
        <f t="shared" si="0"/>
        <v>0</v>
      </c>
      <c r="B19" s="517"/>
      <c r="C19" s="513" t="s">
        <v>647</v>
      </c>
      <c r="D19" s="518">
        <f>Public!B212</f>
        <v>0</v>
      </c>
    </row>
    <row r="20" spans="1:4" x14ac:dyDescent="0.2">
      <c r="A20" s="514">
        <f t="shared" si="0"/>
        <v>0</v>
      </c>
      <c r="B20" s="517"/>
      <c r="C20" s="513" t="s">
        <v>648</v>
      </c>
      <c r="D20" s="518">
        <f>Public!B225</f>
        <v>0</v>
      </c>
    </row>
    <row r="21" spans="1:4" x14ac:dyDescent="0.2">
      <c r="A21" s="514">
        <f t="shared" si="0"/>
        <v>0</v>
      </c>
      <c r="B21" s="517"/>
      <c r="C21" s="513" t="s">
        <v>649</v>
      </c>
      <c r="D21" s="518">
        <f>Public!B238</f>
        <v>0</v>
      </c>
    </row>
    <row r="22" spans="1:4" x14ac:dyDescent="0.2">
      <c r="A22" s="514">
        <f t="shared" si="0"/>
        <v>0</v>
      </c>
      <c r="B22" s="517"/>
      <c r="C22" s="513" t="s">
        <v>650</v>
      </c>
      <c r="D22" s="518">
        <f>Public!B252</f>
        <v>0</v>
      </c>
    </row>
    <row r="23" spans="1:4" x14ac:dyDescent="0.2">
      <c r="A23" s="514">
        <f t="shared" si="0"/>
        <v>0</v>
      </c>
      <c r="B23" s="517"/>
      <c r="C23" s="513" t="s">
        <v>651</v>
      </c>
      <c r="D23" s="518">
        <f>Public!B267</f>
        <v>0</v>
      </c>
    </row>
    <row r="24" spans="1:4" x14ac:dyDescent="0.2">
      <c r="A24" s="514">
        <f t="shared" si="0"/>
        <v>0</v>
      </c>
      <c r="B24" s="517"/>
      <c r="C24" s="513" t="s">
        <v>652</v>
      </c>
      <c r="D24" s="518">
        <f>Public!B280</f>
        <v>0</v>
      </c>
    </row>
    <row r="25" spans="1:4" x14ac:dyDescent="0.2">
      <c r="A25" s="514">
        <f t="shared" si="0"/>
        <v>0</v>
      </c>
      <c r="B25" s="517"/>
      <c r="C25" s="513" t="s">
        <v>653</v>
      </c>
      <c r="D25" s="518">
        <f>Public!B294</f>
        <v>0</v>
      </c>
    </row>
    <row r="26" spans="1:4" x14ac:dyDescent="0.2">
      <c r="A26" s="514">
        <f t="shared" si="0"/>
        <v>0</v>
      </c>
      <c r="B26" s="517"/>
      <c r="C26" s="513" t="s">
        <v>654</v>
      </c>
      <c r="D26" s="518">
        <f>Public!B308</f>
        <v>0</v>
      </c>
    </row>
    <row r="27" spans="1:4" x14ac:dyDescent="0.2">
      <c r="A27" s="514">
        <f t="shared" si="0"/>
        <v>0</v>
      </c>
      <c r="B27" s="517"/>
      <c r="C27" s="513" t="s">
        <v>655</v>
      </c>
      <c r="D27" s="518">
        <f>Public!B327</f>
        <v>0</v>
      </c>
    </row>
    <row r="28" spans="1:4" x14ac:dyDescent="0.2">
      <c r="A28" s="514">
        <f t="shared" si="0"/>
        <v>0</v>
      </c>
      <c r="B28" s="517"/>
      <c r="C28" s="513" t="s">
        <v>656</v>
      </c>
      <c r="D28" s="518">
        <f>Public!H321</f>
        <v>0</v>
      </c>
    </row>
    <row r="29" spans="1:4" x14ac:dyDescent="0.2">
      <c r="A29" s="514">
        <f t="shared" si="0"/>
        <v>0</v>
      </c>
      <c r="B29" s="517"/>
      <c r="C29" s="513" t="s">
        <v>657</v>
      </c>
      <c r="D29" s="518">
        <f>Public!H322</f>
        <v>0</v>
      </c>
    </row>
    <row r="30" spans="1:4" x14ac:dyDescent="0.2">
      <c r="A30" s="514">
        <f t="shared" si="0"/>
        <v>0</v>
      </c>
      <c r="B30" s="517"/>
      <c r="C30" s="513" t="s">
        <v>658</v>
      </c>
      <c r="D30" s="518">
        <f>Public!H323</f>
        <v>0</v>
      </c>
    </row>
    <row r="31" spans="1:4" x14ac:dyDescent="0.2">
      <c r="A31" s="514">
        <f t="shared" si="0"/>
        <v>0</v>
      </c>
      <c r="B31" s="517"/>
      <c r="C31" s="513" t="s">
        <v>659</v>
      </c>
      <c r="D31" s="518">
        <f>Public!B340</f>
        <v>0</v>
      </c>
    </row>
    <row r="32" spans="1:4" x14ac:dyDescent="0.2">
      <c r="A32" s="514">
        <f t="shared" si="0"/>
        <v>0</v>
      </c>
      <c r="B32" s="517"/>
      <c r="C32" s="513" t="s">
        <v>660</v>
      </c>
      <c r="D32" s="518">
        <f>Public!B356</f>
        <v>0</v>
      </c>
    </row>
    <row r="33" spans="1:4" x14ac:dyDescent="0.2">
      <c r="A33" s="514">
        <f t="shared" si="0"/>
        <v>0</v>
      </c>
      <c r="B33" s="517"/>
      <c r="C33" s="513" t="s">
        <v>661</v>
      </c>
      <c r="D33" s="518">
        <f>Public!B370</f>
        <v>0</v>
      </c>
    </row>
    <row r="34" spans="1:4" x14ac:dyDescent="0.2">
      <c r="A34" s="514">
        <f>A33</f>
        <v>0</v>
      </c>
      <c r="B34" s="517"/>
      <c r="C34" s="513" t="s">
        <v>662</v>
      </c>
      <c r="D34" s="518">
        <f>Public!B384</f>
        <v>0</v>
      </c>
    </row>
    <row r="35" spans="1:4" x14ac:dyDescent="0.2">
      <c r="A35" s="514">
        <f>A34</f>
        <v>0</v>
      </c>
      <c r="B35" s="515" t="s">
        <v>663</v>
      </c>
      <c r="D35" s="518"/>
    </row>
    <row r="36" spans="1:4" x14ac:dyDescent="0.2">
      <c r="A36" s="514">
        <f t="shared" si="0"/>
        <v>0</v>
      </c>
      <c r="B36" s="513" t="s">
        <v>131</v>
      </c>
      <c r="C36" s="518">
        <f>AddPub!D13</f>
        <v>0</v>
      </c>
      <c r="D36" s="518">
        <f>AddPub!E13</f>
        <v>0</v>
      </c>
    </row>
    <row r="37" spans="1:4" x14ac:dyDescent="0.2">
      <c r="A37" s="514">
        <f t="shared" si="0"/>
        <v>0</v>
      </c>
      <c r="B37" s="513" t="s">
        <v>133</v>
      </c>
      <c r="C37" s="518">
        <f>AddPub!D23</f>
        <v>0</v>
      </c>
      <c r="D37" s="518">
        <f>AddPub!E23</f>
        <v>0</v>
      </c>
    </row>
    <row r="38" spans="1:4" x14ac:dyDescent="0.2">
      <c r="A38" s="514">
        <f t="shared" si="0"/>
        <v>0</v>
      </c>
      <c r="B38" s="513" t="s">
        <v>135</v>
      </c>
      <c r="C38" s="518">
        <f>AddPub!D33</f>
        <v>0</v>
      </c>
      <c r="D38" s="518">
        <f>AddPub!E33</f>
        <v>0</v>
      </c>
    </row>
    <row r="39" spans="1:4" x14ac:dyDescent="0.2">
      <c r="A39" s="514">
        <f t="shared" si="0"/>
        <v>0</v>
      </c>
      <c r="B39" s="513" t="s">
        <v>137</v>
      </c>
      <c r="C39" s="518">
        <f>AddPub!D43</f>
        <v>0</v>
      </c>
      <c r="D39" s="518">
        <f>AddPub!E43</f>
        <v>0</v>
      </c>
    </row>
    <row r="40" spans="1:4" x14ac:dyDescent="0.2">
      <c r="A40" s="514">
        <f t="shared" si="0"/>
        <v>0</v>
      </c>
      <c r="B40" s="513" t="s">
        <v>139</v>
      </c>
      <c r="C40" s="518">
        <f>AddPub!D53</f>
        <v>0</v>
      </c>
      <c r="D40" s="518">
        <f>AddPub!E53</f>
        <v>0</v>
      </c>
    </row>
    <row r="41" spans="1:4" x14ac:dyDescent="0.2">
      <c r="A41" s="514">
        <f t="shared" si="0"/>
        <v>0</v>
      </c>
      <c r="B41" s="515" t="s">
        <v>664</v>
      </c>
    </row>
    <row r="42" spans="1:4" x14ac:dyDescent="0.2">
      <c r="A42" s="514">
        <f t="shared" si="0"/>
        <v>0</v>
      </c>
      <c r="C42" s="513" t="s">
        <v>665</v>
      </c>
      <c r="D42" s="518">
        <f>Pro!B24</f>
        <v>0</v>
      </c>
    </row>
    <row r="43" spans="1:4" x14ac:dyDescent="0.2">
      <c r="A43" s="514">
        <f t="shared" si="0"/>
        <v>0</v>
      </c>
      <c r="C43" s="513" t="s">
        <v>631</v>
      </c>
      <c r="D43" s="518">
        <f>Pro!B40</f>
        <v>0</v>
      </c>
    </row>
    <row r="44" spans="1:4" x14ac:dyDescent="0.2">
      <c r="A44" s="514">
        <f t="shared" si="0"/>
        <v>0</v>
      </c>
      <c r="C44" s="513" t="s">
        <v>666</v>
      </c>
      <c r="D44" s="518">
        <f>Pro!B60</f>
        <v>0</v>
      </c>
    </row>
    <row r="45" spans="1:4" x14ac:dyDescent="0.2">
      <c r="A45" s="514">
        <f t="shared" si="0"/>
        <v>0</v>
      </c>
      <c r="C45" s="513" t="s">
        <v>667</v>
      </c>
      <c r="D45" s="518">
        <f>Pro!E56</f>
        <v>0</v>
      </c>
    </row>
    <row r="46" spans="1:4" x14ac:dyDescent="0.2">
      <c r="A46" s="514">
        <f t="shared" si="0"/>
        <v>0</v>
      </c>
      <c r="C46" s="513" t="s">
        <v>668</v>
      </c>
      <c r="D46" s="518">
        <f>Pro!F56</f>
        <v>0</v>
      </c>
    </row>
    <row r="47" spans="1:4" x14ac:dyDescent="0.2">
      <c r="A47" s="514">
        <f t="shared" si="0"/>
        <v>0</v>
      </c>
      <c r="C47" s="513" t="s">
        <v>669</v>
      </c>
      <c r="D47" s="518">
        <f>Pro!G56</f>
        <v>0</v>
      </c>
    </row>
    <row r="48" spans="1:4" x14ac:dyDescent="0.2">
      <c r="A48" s="514">
        <f t="shared" si="0"/>
        <v>0</v>
      </c>
      <c r="C48" s="513" t="s">
        <v>670</v>
      </c>
      <c r="D48" s="518">
        <f>Pro!H56</f>
        <v>0</v>
      </c>
    </row>
    <row r="49" spans="1:4" x14ac:dyDescent="0.2">
      <c r="A49" s="514">
        <f t="shared" si="0"/>
        <v>0</v>
      </c>
      <c r="C49" s="513" t="s">
        <v>671</v>
      </c>
      <c r="D49" s="518">
        <f>Pro!I56</f>
        <v>0</v>
      </c>
    </row>
    <row r="50" spans="1:4" x14ac:dyDescent="0.2">
      <c r="A50" s="514">
        <f>A49</f>
        <v>0</v>
      </c>
      <c r="C50" s="513" t="s">
        <v>632</v>
      </c>
      <c r="D50" s="518">
        <f>Pro!B74</f>
        <v>0</v>
      </c>
    </row>
    <row r="51" spans="1:4" x14ac:dyDescent="0.2">
      <c r="A51" s="514">
        <f t="shared" ref="A51" si="1">A50</f>
        <v>0</v>
      </c>
      <c r="C51" s="513" t="s">
        <v>633</v>
      </c>
      <c r="D51" s="518">
        <f>Pro!B87</f>
        <v>0</v>
      </c>
    </row>
    <row r="52" spans="1:4" x14ac:dyDescent="0.2">
      <c r="A52" s="514">
        <f>A51</f>
        <v>0</v>
      </c>
      <c r="C52" s="513" t="s">
        <v>672</v>
      </c>
      <c r="D52" s="518">
        <f>Pro!B132</f>
        <v>0</v>
      </c>
    </row>
    <row r="53" spans="1:4" x14ac:dyDescent="0.2">
      <c r="A53" s="514">
        <f t="shared" si="0"/>
        <v>0</v>
      </c>
      <c r="C53" s="513" t="s">
        <v>673</v>
      </c>
      <c r="D53" s="518">
        <f>Pro!B146</f>
        <v>0</v>
      </c>
    </row>
    <row r="54" spans="1:4" x14ac:dyDescent="0.2">
      <c r="A54" s="514">
        <f t="shared" si="0"/>
        <v>0</v>
      </c>
      <c r="B54" s="520" t="s">
        <v>674</v>
      </c>
      <c r="D54" s="518"/>
    </row>
    <row r="55" spans="1:4" x14ac:dyDescent="0.2">
      <c r="A55" s="514">
        <f t="shared" si="0"/>
        <v>0</v>
      </c>
      <c r="B55" s="520"/>
      <c r="C55" s="513" t="s">
        <v>675</v>
      </c>
      <c r="D55" s="518">
        <f>'Invent-Stock'!B49</f>
        <v>0</v>
      </c>
    </row>
    <row r="56" spans="1:4" x14ac:dyDescent="0.2">
      <c r="A56" s="514">
        <f t="shared" si="0"/>
        <v>0</v>
      </c>
      <c r="C56" s="513" t="s">
        <v>676</v>
      </c>
      <c r="D56" s="518">
        <f>'Invent-Stock'!B63</f>
        <v>0</v>
      </c>
    </row>
    <row r="57" spans="1:4" x14ac:dyDescent="0.2">
      <c r="A57" s="514">
        <f t="shared" si="0"/>
        <v>0</v>
      </c>
      <c r="C57" s="513" t="s">
        <v>632</v>
      </c>
      <c r="D57" s="518">
        <f>'Invent-Stock'!B77</f>
        <v>0</v>
      </c>
    </row>
    <row r="58" spans="1:4" x14ac:dyDescent="0.2">
      <c r="A58" s="514">
        <f t="shared" si="0"/>
        <v>0</v>
      </c>
      <c r="C58" s="513" t="s">
        <v>633</v>
      </c>
      <c r="D58" s="518">
        <f>'Invent-Stock'!B90</f>
        <v>0</v>
      </c>
    </row>
    <row r="59" spans="1:4" x14ac:dyDescent="0.2">
      <c r="A59" s="514">
        <f t="shared" si="0"/>
        <v>0</v>
      </c>
      <c r="B59" s="515" t="s">
        <v>677</v>
      </c>
    </row>
    <row r="60" spans="1:4" x14ac:dyDescent="0.2">
      <c r="A60" s="514">
        <f t="shared" si="0"/>
        <v>0</v>
      </c>
      <c r="B60" s="513" t="s">
        <v>131</v>
      </c>
      <c r="C60" s="518">
        <f>AddPro!D13</f>
        <v>0</v>
      </c>
      <c r="D60" s="518">
        <f>AddPro!E13</f>
        <v>0</v>
      </c>
    </row>
    <row r="61" spans="1:4" x14ac:dyDescent="0.2">
      <c r="A61" s="514">
        <f t="shared" si="0"/>
        <v>0</v>
      </c>
      <c r="B61" s="513" t="s">
        <v>133</v>
      </c>
      <c r="C61" s="518">
        <f>AddPro!D23</f>
        <v>0</v>
      </c>
      <c r="D61" s="518">
        <f>AddPro!E23</f>
        <v>0</v>
      </c>
    </row>
    <row r="62" spans="1:4" x14ac:dyDescent="0.2">
      <c r="A62" s="514">
        <f t="shared" si="0"/>
        <v>0</v>
      </c>
      <c r="B62" s="513" t="s">
        <v>135</v>
      </c>
      <c r="C62" s="518">
        <f>AddPro!D33</f>
        <v>0</v>
      </c>
      <c r="D62" s="518">
        <f>AddPro!E33</f>
        <v>0</v>
      </c>
    </row>
    <row r="63" spans="1:4" x14ac:dyDescent="0.2">
      <c r="A63" s="514">
        <f t="shared" si="0"/>
        <v>0</v>
      </c>
      <c r="B63" s="513" t="s">
        <v>137</v>
      </c>
      <c r="C63" s="518">
        <f>AddPro!D43</f>
        <v>0</v>
      </c>
      <c r="D63" s="518">
        <f>AddPro!E43</f>
        <v>0</v>
      </c>
    </row>
    <row r="64" spans="1:4" x14ac:dyDescent="0.2">
      <c r="A64" s="514">
        <f t="shared" si="0"/>
        <v>0</v>
      </c>
      <c r="B64" s="513" t="s">
        <v>139</v>
      </c>
      <c r="C64" s="518">
        <f>AddPro!D53</f>
        <v>0</v>
      </c>
      <c r="D64" s="518">
        <f>AddPro!E53</f>
        <v>0</v>
      </c>
    </row>
  </sheetData>
  <sheetProtection algorithmName="SHA-512" hashValue="78JNNVjM3Q7OBXrmRgtPM2i35VhxvLkuhabLnW5BL5mfpNigrhEbVvxI6zZ+oiY21FRDCoP2YgoMyEf8LYyUgQ==" saltValue="Nth8E+Ee02I4BitJsq2TDQ==" spinCount="100000" sheet="1" objects="1" scenarios="1" selectLockedCells="1"/>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B9744-8ADA-41B5-B4B3-D6CAC53AB19E}">
  <sheetPr>
    <tabColor rgb="FF92D050"/>
    <pageSetUpPr fitToPage="1"/>
  </sheetPr>
  <dimension ref="A2:S243"/>
  <sheetViews>
    <sheetView showGridLines="0" zoomScaleNormal="100" zoomScaleSheetLayoutView="55" workbookViewId="0">
      <selection activeCell="B27" sqref="B27:K27"/>
    </sheetView>
  </sheetViews>
  <sheetFormatPr defaultColWidth="9.140625" defaultRowHeight="14.25" x14ac:dyDescent="0.25"/>
  <cols>
    <col min="1" max="1" width="1.85546875" style="282" customWidth="1"/>
    <col min="2" max="12" width="14.5703125" style="277" customWidth="1"/>
    <col min="13" max="13" width="6.140625" style="274" customWidth="1"/>
    <col min="14" max="14" width="9.140625" style="274" customWidth="1"/>
    <col min="15" max="15" width="10.85546875" style="274" hidden="1" customWidth="1"/>
    <col min="16" max="16" width="8.85546875" style="274" hidden="1" customWidth="1"/>
    <col min="17" max="17" width="9.140625" style="274" customWidth="1"/>
    <col min="18" max="16384" width="9.140625" style="274"/>
  </cols>
  <sheetData>
    <row r="2" spans="1:16" x14ac:dyDescent="0.25">
      <c r="B2" s="283"/>
      <c r="C2" s="283"/>
      <c r="D2" s="283"/>
      <c r="O2" s="284"/>
      <c r="P2" s="284"/>
    </row>
    <row r="3" spans="1:16" x14ac:dyDescent="0.25">
      <c r="B3" s="285"/>
      <c r="C3" s="285"/>
      <c r="D3" s="285"/>
      <c r="O3" s="286"/>
      <c r="P3" s="286"/>
    </row>
    <row r="4" spans="1:16" s="286" customFormat="1" x14ac:dyDescent="0.25">
      <c r="A4" s="279"/>
      <c r="B4" s="832"/>
      <c r="C4" s="832"/>
      <c r="D4" s="832"/>
      <c r="E4" s="832"/>
      <c r="F4" s="832"/>
      <c r="G4" s="832"/>
      <c r="H4" s="832"/>
      <c r="I4" s="832"/>
      <c r="J4" s="832"/>
      <c r="K4" s="832"/>
      <c r="L4" s="832"/>
      <c r="M4" s="287"/>
      <c r="N4" s="287"/>
      <c r="O4" s="288"/>
      <c r="P4" s="288"/>
    </row>
    <row r="5" spans="1:16" s="286" customFormat="1" x14ac:dyDescent="0.25">
      <c r="A5" s="279"/>
      <c r="B5" s="832"/>
      <c r="C5" s="832"/>
      <c r="D5" s="832"/>
      <c r="E5" s="832"/>
      <c r="F5" s="832"/>
      <c r="G5" s="832"/>
      <c r="H5" s="832"/>
      <c r="I5" s="832"/>
      <c r="J5" s="832"/>
      <c r="K5" s="832"/>
      <c r="L5" s="832"/>
      <c r="M5" s="287"/>
      <c r="N5" s="287"/>
      <c r="O5" s="288"/>
      <c r="P5" s="288"/>
    </row>
    <row r="6" spans="1:16" s="288" customFormat="1" x14ac:dyDescent="0.25">
      <c r="A6" s="279"/>
      <c r="B6" s="832"/>
      <c r="C6" s="832"/>
      <c r="D6" s="832"/>
      <c r="E6" s="832"/>
      <c r="F6" s="832"/>
      <c r="G6" s="832"/>
      <c r="H6" s="832"/>
      <c r="I6" s="832"/>
      <c r="J6" s="832"/>
      <c r="K6" s="832"/>
      <c r="L6" s="832"/>
      <c r="O6" s="289"/>
      <c r="P6" s="289"/>
    </row>
    <row r="7" spans="1:16" s="288" customFormat="1" x14ac:dyDescent="0.25">
      <c r="A7" s="279"/>
      <c r="B7" s="270"/>
      <c r="C7" s="270"/>
      <c r="D7" s="270"/>
      <c r="E7" s="270"/>
      <c r="F7" s="270"/>
      <c r="G7" s="270"/>
      <c r="H7" s="270"/>
      <c r="I7" s="270"/>
      <c r="J7" s="270"/>
      <c r="K7" s="270"/>
      <c r="L7" s="270"/>
      <c r="O7" s="290"/>
    </row>
    <row r="8" spans="1:16" s="288" customFormat="1" x14ac:dyDescent="0.25">
      <c r="A8" s="279"/>
      <c r="B8" s="830"/>
      <c r="C8" s="830"/>
      <c r="D8" s="830"/>
      <c r="E8" s="830"/>
      <c r="F8" s="830"/>
      <c r="G8" s="830"/>
      <c r="H8" s="830"/>
      <c r="I8" s="830"/>
      <c r="J8" s="830"/>
      <c r="K8" s="830"/>
      <c r="L8" s="830"/>
      <c r="O8" s="289"/>
      <c r="P8" s="289"/>
    </row>
    <row r="9" spans="1:16" s="288" customFormat="1" x14ac:dyDescent="0.25">
      <c r="A9" s="279"/>
      <c r="B9" s="830"/>
      <c r="C9" s="830"/>
      <c r="D9" s="830"/>
      <c r="E9" s="830"/>
      <c r="F9" s="830"/>
      <c r="G9" s="830"/>
      <c r="H9" s="830"/>
      <c r="I9" s="830"/>
      <c r="J9" s="830"/>
      <c r="K9" s="830"/>
      <c r="L9" s="830"/>
      <c r="O9" s="289"/>
    </row>
    <row r="10" spans="1:16" s="288" customFormat="1" x14ac:dyDescent="0.25">
      <c r="A10" s="279"/>
      <c r="B10" s="830"/>
      <c r="C10" s="830"/>
      <c r="D10" s="830"/>
      <c r="E10" s="830"/>
      <c r="F10" s="830"/>
      <c r="G10" s="830"/>
      <c r="H10" s="830"/>
      <c r="I10" s="830"/>
      <c r="J10" s="830"/>
      <c r="K10" s="830"/>
      <c r="L10" s="830"/>
      <c r="O10" s="289"/>
      <c r="P10" s="289"/>
    </row>
    <row r="11" spans="1:16" s="288" customFormat="1" ht="31.5" customHeight="1" x14ac:dyDescent="0.25">
      <c r="A11" s="279"/>
      <c r="B11" s="831"/>
      <c r="C11" s="831"/>
      <c r="D11" s="831"/>
      <c r="E11" s="831"/>
      <c r="F11" s="831"/>
      <c r="G11" s="831"/>
      <c r="H11" s="831"/>
      <c r="I11" s="831"/>
      <c r="J11" s="831"/>
      <c r="K11" s="831"/>
      <c r="L11" s="831"/>
      <c r="O11" s="289"/>
      <c r="P11" s="289"/>
    </row>
    <row r="12" spans="1:16" s="288" customFormat="1" x14ac:dyDescent="0.25">
      <c r="A12" s="279"/>
      <c r="B12" s="830"/>
      <c r="C12" s="830"/>
      <c r="D12" s="830"/>
      <c r="E12" s="830"/>
      <c r="F12" s="830"/>
      <c r="G12" s="830"/>
      <c r="H12" s="830"/>
      <c r="I12" s="830"/>
      <c r="J12" s="830"/>
      <c r="K12" s="830"/>
      <c r="L12" s="830"/>
      <c r="O12" s="289"/>
      <c r="P12" s="289"/>
    </row>
    <row r="13" spans="1:16" s="288" customFormat="1" x14ac:dyDescent="0.25">
      <c r="A13" s="279"/>
      <c r="B13" s="830"/>
      <c r="C13" s="830"/>
      <c r="D13" s="830"/>
      <c r="E13" s="830"/>
      <c r="F13" s="830"/>
      <c r="G13" s="830"/>
      <c r="H13" s="830"/>
      <c r="I13" s="830"/>
      <c r="J13" s="830"/>
      <c r="K13" s="830"/>
      <c r="L13" s="830"/>
      <c r="O13" s="289"/>
      <c r="P13" s="289"/>
    </row>
    <row r="14" spans="1:16" s="288" customFormat="1" x14ac:dyDescent="0.25">
      <c r="A14" s="279"/>
      <c r="B14" s="830"/>
      <c r="C14" s="830"/>
      <c r="D14" s="830"/>
      <c r="E14" s="830"/>
      <c r="F14" s="830"/>
      <c r="G14" s="830"/>
      <c r="H14" s="830"/>
      <c r="I14" s="830"/>
      <c r="J14" s="830"/>
      <c r="K14" s="830"/>
      <c r="L14" s="830"/>
      <c r="O14" s="289"/>
      <c r="P14" s="289"/>
    </row>
    <row r="15" spans="1:16" s="288" customFormat="1" x14ac:dyDescent="0.25">
      <c r="A15" s="279"/>
      <c r="B15" s="830"/>
      <c r="C15" s="830"/>
      <c r="D15" s="830"/>
      <c r="E15" s="830"/>
      <c r="F15" s="830"/>
      <c r="G15" s="830"/>
      <c r="H15" s="830"/>
      <c r="I15" s="830"/>
      <c r="J15" s="830"/>
      <c r="K15" s="830"/>
      <c r="L15" s="830"/>
      <c r="O15" s="289"/>
      <c r="P15" s="289"/>
    </row>
    <row r="16" spans="1:16" s="288" customFormat="1" x14ac:dyDescent="0.25">
      <c r="A16" s="279"/>
      <c r="B16" s="291"/>
      <c r="C16" s="291"/>
      <c r="D16" s="291"/>
      <c r="E16" s="270"/>
      <c r="F16" s="270"/>
      <c r="G16" s="270"/>
      <c r="H16" s="270"/>
      <c r="I16" s="270"/>
      <c r="J16" s="270"/>
      <c r="K16" s="270"/>
      <c r="L16" s="270"/>
      <c r="O16" s="289"/>
      <c r="P16" s="289"/>
    </row>
    <row r="17" spans="1:16" x14ac:dyDescent="0.25">
      <c r="B17" s="832"/>
      <c r="C17" s="832"/>
      <c r="D17" s="832"/>
      <c r="E17" s="832"/>
      <c r="F17" s="832"/>
      <c r="G17" s="832"/>
      <c r="H17" s="832"/>
      <c r="I17" s="832"/>
      <c r="J17" s="832"/>
      <c r="K17" s="832"/>
      <c r="L17" s="832"/>
      <c r="O17" s="292"/>
      <c r="P17" s="292"/>
    </row>
    <row r="18" spans="1:16" x14ac:dyDescent="0.25">
      <c r="B18" s="833"/>
      <c r="C18" s="833"/>
      <c r="D18" s="833"/>
      <c r="E18" s="833"/>
      <c r="F18" s="833"/>
      <c r="G18" s="833"/>
      <c r="H18" s="833"/>
      <c r="I18" s="833"/>
      <c r="J18" s="833"/>
      <c r="K18" s="833"/>
      <c r="L18" s="833"/>
    </row>
    <row r="19" spans="1:16" x14ac:dyDescent="0.25">
      <c r="B19" s="271"/>
      <c r="C19" s="271"/>
      <c r="D19" s="271"/>
      <c r="E19" s="272"/>
      <c r="F19" s="272"/>
      <c r="G19" s="272"/>
      <c r="H19" s="272"/>
      <c r="I19" s="272"/>
      <c r="J19" s="272"/>
      <c r="K19" s="272"/>
      <c r="L19" s="272"/>
    </row>
    <row r="20" spans="1:16" ht="66" customHeight="1" x14ac:dyDescent="0.25">
      <c r="B20" s="836"/>
      <c r="C20" s="836"/>
      <c r="D20" s="836"/>
      <c r="E20" s="836"/>
      <c r="F20" s="836"/>
      <c r="G20" s="837"/>
      <c r="H20" s="837"/>
      <c r="I20" s="837"/>
      <c r="J20" s="837"/>
      <c r="K20" s="837"/>
      <c r="L20" s="293"/>
    </row>
    <row r="21" spans="1:16" x14ac:dyDescent="0.25">
      <c r="B21" s="273"/>
      <c r="C21" s="273"/>
      <c r="D21" s="273"/>
      <c r="E21" s="273"/>
      <c r="F21" s="273"/>
      <c r="G21" s="272"/>
      <c r="H21" s="272"/>
      <c r="I21" s="272"/>
      <c r="J21" s="272"/>
      <c r="K21" s="272"/>
      <c r="L21" s="272"/>
    </row>
    <row r="22" spans="1:16" x14ac:dyDescent="0.25">
      <c r="B22" s="273"/>
      <c r="C22" s="273"/>
      <c r="D22" s="273"/>
      <c r="E22" s="273"/>
      <c r="F22" s="273"/>
      <c r="G22" s="294"/>
      <c r="H22" s="294"/>
      <c r="I22" s="294"/>
      <c r="J22" s="294"/>
      <c r="K22" s="294"/>
      <c r="L22" s="225"/>
      <c r="O22" s="275"/>
    </row>
    <row r="23" spans="1:16" s="284" customFormat="1" x14ac:dyDescent="0.25">
      <c r="A23" s="295"/>
      <c r="B23" s="833"/>
      <c r="C23" s="833"/>
      <c r="D23" s="833"/>
      <c r="E23" s="833"/>
      <c r="F23" s="833"/>
      <c r="G23" s="833"/>
      <c r="H23" s="833"/>
      <c r="I23" s="833"/>
      <c r="J23" s="833"/>
      <c r="K23" s="833"/>
      <c r="L23" s="225"/>
      <c r="O23" s="296"/>
    </row>
    <row r="24" spans="1:16" x14ac:dyDescent="0.25">
      <c r="B24" s="834"/>
      <c r="C24" s="834"/>
      <c r="D24" s="796"/>
      <c r="E24" s="796"/>
      <c r="F24" s="796"/>
      <c r="G24" s="297"/>
      <c r="H24" s="297"/>
      <c r="I24" s="297"/>
      <c r="J24" s="297"/>
      <c r="K24" s="298"/>
      <c r="L24" s="225"/>
    </row>
    <row r="25" spans="1:16" x14ac:dyDescent="0.25">
      <c r="B25" s="834"/>
      <c r="C25" s="834"/>
      <c r="D25" s="796"/>
      <c r="E25" s="796"/>
      <c r="F25" s="796"/>
      <c r="G25" s="297"/>
      <c r="H25" s="297"/>
      <c r="I25" s="297"/>
      <c r="J25" s="297"/>
      <c r="K25" s="298"/>
      <c r="L25" s="225"/>
    </row>
    <row r="26" spans="1:16" x14ac:dyDescent="0.25">
      <c r="B26" s="834"/>
      <c r="C26" s="834"/>
      <c r="D26" s="796"/>
      <c r="E26" s="796"/>
      <c r="F26" s="796"/>
      <c r="G26" s="299"/>
      <c r="H26" s="299"/>
      <c r="I26" s="299"/>
      <c r="J26" s="299"/>
      <c r="K26" s="299"/>
      <c r="L26" s="225"/>
    </row>
    <row r="27" spans="1:16" s="284" customFormat="1" x14ac:dyDescent="0.25">
      <c r="A27" s="295"/>
      <c r="B27" s="835"/>
      <c r="C27" s="835"/>
      <c r="D27" s="835"/>
      <c r="E27" s="835"/>
      <c r="F27" s="835"/>
      <c r="G27" s="835"/>
      <c r="H27" s="835"/>
      <c r="I27" s="835"/>
      <c r="J27" s="835"/>
      <c r="K27" s="835"/>
      <c r="L27" s="225"/>
      <c r="O27" s="296"/>
    </row>
    <row r="28" spans="1:16" s="284" customFormat="1" x14ac:dyDescent="0.25">
      <c r="A28" s="295"/>
      <c r="B28" s="835"/>
      <c r="C28" s="835"/>
      <c r="D28" s="835"/>
      <c r="E28" s="835"/>
      <c r="F28" s="835"/>
      <c r="G28" s="835"/>
      <c r="H28" s="835"/>
      <c r="I28" s="835"/>
      <c r="J28" s="835"/>
      <c r="K28" s="835"/>
      <c r="L28" s="225"/>
      <c r="O28" s="296"/>
    </row>
    <row r="29" spans="1:16" x14ac:dyDescent="0.25">
      <c r="B29" s="727"/>
      <c r="C29" s="727"/>
      <c r="D29" s="796"/>
      <c r="E29" s="796"/>
      <c r="F29" s="796"/>
      <c r="G29" s="297"/>
      <c r="H29" s="297"/>
      <c r="I29" s="297"/>
      <c r="J29" s="297"/>
      <c r="K29" s="298"/>
      <c r="L29" s="225"/>
    </row>
    <row r="30" spans="1:16" x14ac:dyDescent="0.25">
      <c r="B30" s="727"/>
      <c r="C30" s="727"/>
      <c r="D30" s="796"/>
      <c r="E30" s="796"/>
      <c r="F30" s="796"/>
      <c r="G30" s="297"/>
      <c r="H30" s="297"/>
      <c r="I30" s="297"/>
      <c r="J30" s="297"/>
      <c r="K30" s="298"/>
      <c r="L30" s="225"/>
    </row>
    <row r="31" spans="1:16" x14ac:dyDescent="0.25">
      <c r="B31" s="727"/>
      <c r="C31" s="727"/>
      <c r="D31" s="796"/>
      <c r="E31" s="796"/>
      <c r="F31" s="796"/>
      <c r="G31" s="299"/>
      <c r="H31" s="299"/>
      <c r="I31" s="299"/>
      <c r="J31" s="299"/>
      <c r="K31" s="299"/>
      <c r="L31" s="225"/>
    </row>
    <row r="32" spans="1:16" x14ac:dyDescent="0.25">
      <c r="B32" s="727"/>
      <c r="C32" s="727"/>
      <c r="D32" s="796"/>
      <c r="E32" s="796"/>
      <c r="F32" s="796"/>
      <c r="G32" s="297"/>
      <c r="H32" s="297"/>
      <c r="I32" s="297"/>
      <c r="J32" s="297"/>
      <c r="K32" s="298"/>
      <c r="L32" s="225"/>
    </row>
    <row r="33" spans="1:16" x14ac:dyDescent="0.25">
      <c r="B33" s="727"/>
      <c r="C33" s="727"/>
      <c r="D33" s="796"/>
      <c r="E33" s="796"/>
      <c r="F33" s="796"/>
      <c r="G33" s="297"/>
      <c r="H33" s="297"/>
      <c r="I33" s="297"/>
      <c r="J33" s="297"/>
      <c r="K33" s="298"/>
      <c r="L33" s="225"/>
    </row>
    <row r="34" spans="1:16" x14ac:dyDescent="0.25">
      <c r="B34" s="727"/>
      <c r="C34" s="727"/>
      <c r="D34" s="796"/>
      <c r="E34" s="796"/>
      <c r="F34" s="796"/>
      <c r="G34" s="299"/>
      <c r="H34" s="299"/>
      <c r="I34" s="299"/>
      <c r="J34" s="299"/>
      <c r="K34" s="299"/>
      <c r="L34" s="225"/>
    </row>
    <row r="35" spans="1:16" x14ac:dyDescent="0.25">
      <c r="B35" s="835"/>
      <c r="C35" s="835"/>
      <c r="D35" s="835"/>
      <c r="E35" s="835"/>
      <c r="F35" s="835"/>
      <c r="G35" s="835"/>
      <c r="H35" s="835"/>
      <c r="I35" s="835"/>
      <c r="J35" s="835"/>
      <c r="K35" s="835"/>
      <c r="L35" s="225"/>
      <c r="O35" s="296"/>
      <c r="P35" s="284"/>
    </row>
    <row r="36" spans="1:16" x14ac:dyDescent="0.25">
      <c r="B36" s="727"/>
      <c r="C36" s="727"/>
      <c r="D36" s="796"/>
      <c r="E36" s="796"/>
      <c r="F36" s="796"/>
      <c r="G36" s="297"/>
      <c r="H36" s="297"/>
      <c r="I36" s="297"/>
      <c r="J36" s="297"/>
      <c r="K36" s="298"/>
      <c r="L36" s="225"/>
    </row>
    <row r="37" spans="1:16" x14ac:dyDescent="0.25">
      <c r="B37" s="727"/>
      <c r="C37" s="727"/>
      <c r="D37" s="796"/>
      <c r="E37" s="796"/>
      <c r="F37" s="796"/>
      <c r="G37" s="297"/>
      <c r="H37" s="297"/>
      <c r="I37" s="297"/>
      <c r="J37" s="297"/>
      <c r="K37" s="298"/>
      <c r="L37" s="225"/>
    </row>
    <row r="38" spans="1:16" x14ac:dyDescent="0.25">
      <c r="B38" s="727"/>
      <c r="C38" s="727"/>
      <c r="D38" s="796"/>
      <c r="E38" s="796"/>
      <c r="F38" s="796"/>
      <c r="G38" s="299"/>
      <c r="H38" s="299"/>
      <c r="I38" s="299"/>
      <c r="J38" s="299"/>
      <c r="K38" s="299"/>
      <c r="L38" s="225"/>
    </row>
    <row r="39" spans="1:16" x14ac:dyDescent="0.25">
      <c r="B39" s="727"/>
      <c r="C39" s="727"/>
      <c r="D39" s="796"/>
      <c r="E39" s="796"/>
      <c r="F39" s="796"/>
      <c r="G39" s="297"/>
      <c r="H39" s="297"/>
      <c r="I39" s="297"/>
      <c r="J39" s="297"/>
      <c r="K39" s="298"/>
      <c r="L39" s="225"/>
    </row>
    <row r="40" spans="1:16" x14ac:dyDescent="0.25">
      <c r="B40" s="727"/>
      <c r="C40" s="727"/>
      <c r="D40" s="796"/>
      <c r="E40" s="796"/>
      <c r="F40" s="796"/>
      <c r="G40" s="297"/>
      <c r="H40" s="297"/>
      <c r="I40" s="297"/>
      <c r="J40" s="297"/>
      <c r="K40" s="298"/>
      <c r="L40" s="225"/>
    </row>
    <row r="41" spans="1:16" x14ac:dyDescent="0.25">
      <c r="B41" s="727"/>
      <c r="C41" s="727"/>
      <c r="D41" s="796"/>
      <c r="E41" s="796"/>
      <c r="F41" s="796"/>
      <c r="G41" s="299"/>
      <c r="H41" s="299"/>
      <c r="I41" s="299"/>
      <c r="J41" s="299"/>
      <c r="K41" s="299"/>
      <c r="L41" s="225"/>
    </row>
    <row r="42" spans="1:16" x14ac:dyDescent="0.25">
      <c r="B42" s="838"/>
      <c r="C42" s="838"/>
      <c r="D42" s="839"/>
      <c r="E42" s="839"/>
      <c r="F42" s="839"/>
      <c r="G42" s="300"/>
      <c r="H42" s="300"/>
      <c r="I42" s="300"/>
      <c r="J42" s="300"/>
      <c r="K42" s="300"/>
      <c r="L42" s="225"/>
    </row>
    <row r="43" spans="1:16" x14ac:dyDescent="0.25">
      <c r="B43" s="838"/>
      <c r="C43" s="838"/>
      <c r="D43" s="839"/>
      <c r="E43" s="839"/>
      <c r="F43" s="839"/>
      <c r="G43" s="300"/>
      <c r="H43" s="300"/>
      <c r="I43" s="300"/>
      <c r="J43" s="300"/>
      <c r="K43" s="300"/>
      <c r="L43" s="225"/>
    </row>
    <row r="44" spans="1:16" x14ac:dyDescent="0.25">
      <c r="B44" s="838"/>
      <c r="C44" s="838"/>
      <c r="D44" s="839"/>
      <c r="E44" s="839"/>
      <c r="F44" s="839"/>
      <c r="G44" s="299"/>
      <c r="H44" s="299"/>
      <c r="I44" s="299"/>
      <c r="J44" s="299"/>
      <c r="K44" s="299"/>
      <c r="L44" s="225"/>
    </row>
    <row r="46" spans="1:16" s="284" customFormat="1" x14ac:dyDescent="0.25">
      <c r="A46" s="282"/>
      <c r="B46" s="293"/>
      <c r="C46" s="293"/>
      <c r="D46" s="301"/>
      <c r="E46" s="301"/>
      <c r="F46" s="301"/>
      <c r="G46" s="301"/>
      <c r="H46" s="301"/>
      <c r="I46" s="301"/>
      <c r="J46" s="301"/>
      <c r="K46" s="301"/>
      <c r="L46" s="301"/>
      <c r="M46" s="302"/>
    </row>
    <row r="47" spans="1:16" x14ac:dyDescent="0.25">
      <c r="B47" s="832"/>
      <c r="C47" s="832"/>
      <c r="D47" s="832"/>
      <c r="E47" s="832"/>
      <c r="F47" s="832"/>
      <c r="G47" s="832"/>
      <c r="H47" s="832"/>
      <c r="I47" s="832"/>
      <c r="J47" s="832"/>
      <c r="K47" s="832"/>
      <c r="L47" s="832"/>
      <c r="O47" s="292"/>
      <c r="P47" s="292"/>
    </row>
    <row r="48" spans="1:16" s="284" customFormat="1" x14ac:dyDescent="0.25">
      <c r="A48" s="282"/>
      <c r="B48" s="833"/>
      <c r="C48" s="833"/>
      <c r="D48" s="833"/>
      <c r="E48" s="833"/>
      <c r="F48" s="833"/>
      <c r="G48" s="833"/>
      <c r="H48" s="833"/>
      <c r="I48" s="833"/>
      <c r="J48" s="833"/>
      <c r="K48" s="833"/>
      <c r="L48" s="833"/>
      <c r="M48" s="302"/>
      <c r="O48" s="274"/>
    </row>
    <row r="49" spans="2:15" x14ac:dyDescent="0.25">
      <c r="B49" s="271"/>
      <c r="C49" s="271"/>
      <c r="D49" s="271"/>
      <c r="E49" s="272"/>
      <c r="F49" s="272"/>
      <c r="G49" s="272"/>
      <c r="H49" s="272"/>
      <c r="I49" s="272"/>
      <c r="J49" s="272"/>
      <c r="K49" s="272"/>
      <c r="L49" s="272"/>
    </row>
    <row r="50" spans="2:15" x14ac:dyDescent="0.25">
      <c r="B50" s="717"/>
      <c r="C50" s="717"/>
      <c r="D50" s="717"/>
      <c r="E50" s="717"/>
      <c r="F50" s="717"/>
      <c r="G50" s="717"/>
      <c r="H50" s="717"/>
      <c r="I50" s="717"/>
      <c r="J50" s="717"/>
      <c r="K50" s="717"/>
      <c r="L50" s="717"/>
      <c r="O50" s="275"/>
    </row>
    <row r="51" spans="2:15" x14ac:dyDescent="0.25">
      <c r="B51" s="717"/>
      <c r="C51" s="717"/>
      <c r="D51" s="717"/>
      <c r="E51" s="717"/>
      <c r="F51" s="717"/>
      <c r="G51" s="717"/>
      <c r="H51" s="717"/>
      <c r="I51" s="717"/>
      <c r="J51" s="717"/>
      <c r="K51" s="717"/>
      <c r="L51" s="717"/>
      <c r="O51" s="275"/>
    </row>
    <row r="52" spans="2:15" x14ac:dyDescent="0.25">
      <c r="B52" s="267"/>
      <c r="C52" s="267"/>
      <c r="D52" s="271"/>
      <c r="E52" s="272"/>
      <c r="F52" s="272"/>
      <c r="G52" s="272"/>
      <c r="H52" s="272"/>
      <c r="I52" s="272"/>
      <c r="J52" s="272"/>
      <c r="K52" s="272"/>
      <c r="L52" s="272"/>
      <c r="O52" s="275"/>
    </row>
    <row r="53" spans="2:15" x14ac:dyDescent="0.25">
      <c r="B53" s="841"/>
      <c r="C53" s="841"/>
      <c r="D53" s="841"/>
      <c r="E53" s="303"/>
      <c r="F53" s="303"/>
      <c r="G53" s="303"/>
      <c r="H53" s="303"/>
      <c r="I53" s="303"/>
      <c r="J53" s="303"/>
      <c r="K53" s="303"/>
      <c r="L53" s="303"/>
      <c r="O53" s="275"/>
    </row>
    <row r="54" spans="2:15" x14ac:dyDescent="0.25">
      <c r="B54" s="840"/>
      <c r="C54" s="840"/>
      <c r="D54" s="840"/>
      <c r="E54" s="840"/>
      <c r="F54" s="840"/>
      <c r="G54" s="840"/>
      <c r="H54" s="840"/>
      <c r="I54" s="840"/>
      <c r="J54" s="840"/>
      <c r="K54" s="840"/>
      <c r="L54" s="840"/>
      <c r="O54" s="275"/>
    </row>
    <row r="55" spans="2:15" x14ac:dyDescent="0.25">
      <c r="B55" s="836"/>
      <c r="C55" s="836"/>
      <c r="D55" s="836"/>
      <c r="E55" s="304"/>
      <c r="F55" s="304"/>
      <c r="G55" s="304"/>
      <c r="H55" s="304"/>
      <c r="I55" s="304"/>
      <c r="J55" s="304"/>
      <c r="K55" s="304"/>
      <c r="L55" s="304"/>
    </row>
    <row r="56" spans="2:15" x14ac:dyDescent="0.25">
      <c r="B56" s="836"/>
      <c r="C56" s="836"/>
      <c r="D56" s="836"/>
      <c r="E56" s="304"/>
      <c r="F56" s="304"/>
      <c r="G56" s="304"/>
      <c r="H56" s="304"/>
      <c r="I56" s="304"/>
      <c r="J56" s="304"/>
      <c r="K56" s="304"/>
      <c r="L56" s="304"/>
    </row>
    <row r="57" spans="2:15" x14ac:dyDescent="0.25">
      <c r="B57" s="836"/>
      <c r="C57" s="836"/>
      <c r="D57" s="836"/>
      <c r="E57" s="305"/>
      <c r="F57" s="305"/>
      <c r="G57" s="305"/>
      <c r="H57" s="305"/>
      <c r="I57" s="305"/>
      <c r="J57" s="305"/>
      <c r="K57" s="305"/>
      <c r="L57" s="305"/>
    </row>
    <row r="58" spans="2:15" x14ac:dyDescent="0.25">
      <c r="B58" s="840"/>
      <c r="C58" s="840"/>
      <c r="D58" s="840"/>
      <c r="E58" s="840"/>
      <c r="F58" s="840"/>
      <c r="G58" s="840"/>
      <c r="H58" s="840"/>
      <c r="I58" s="840"/>
      <c r="J58" s="840"/>
      <c r="K58" s="840"/>
      <c r="L58" s="840"/>
    </row>
    <row r="59" spans="2:15" x14ac:dyDescent="0.25">
      <c r="B59" s="836"/>
      <c r="C59" s="836"/>
      <c r="D59" s="836"/>
      <c r="E59" s="304"/>
      <c r="F59" s="304"/>
      <c r="G59" s="304"/>
      <c r="H59" s="304"/>
      <c r="I59" s="304"/>
      <c r="J59" s="304"/>
      <c r="K59" s="304"/>
      <c r="L59" s="304"/>
    </row>
    <row r="60" spans="2:15" x14ac:dyDescent="0.25">
      <c r="B60" s="836"/>
      <c r="C60" s="836"/>
      <c r="D60" s="836"/>
      <c r="E60" s="304"/>
      <c r="F60" s="304"/>
      <c r="G60" s="304"/>
      <c r="H60" s="304"/>
      <c r="I60" s="304"/>
      <c r="J60" s="304"/>
      <c r="K60" s="304"/>
      <c r="L60" s="304"/>
    </row>
    <row r="61" spans="2:15" x14ac:dyDescent="0.25">
      <c r="B61" s="836"/>
      <c r="C61" s="836"/>
      <c r="D61" s="836"/>
      <c r="E61" s="305"/>
      <c r="F61" s="305"/>
      <c r="G61" s="305"/>
      <c r="H61" s="305"/>
      <c r="I61" s="305"/>
      <c r="J61" s="305"/>
      <c r="K61" s="305"/>
      <c r="L61" s="305"/>
    </row>
    <row r="62" spans="2:15" x14ac:dyDescent="0.25">
      <c r="B62" s="840"/>
      <c r="C62" s="840"/>
      <c r="D62" s="840"/>
      <c r="E62" s="840"/>
      <c r="F62" s="840"/>
      <c r="G62" s="840"/>
      <c r="H62" s="840"/>
      <c r="I62" s="840"/>
      <c r="J62" s="840"/>
      <c r="K62" s="840"/>
      <c r="L62" s="840"/>
    </row>
    <row r="63" spans="2:15" x14ac:dyDescent="0.25">
      <c r="B63" s="836"/>
      <c r="C63" s="836"/>
      <c r="D63" s="836"/>
      <c r="E63" s="304"/>
      <c r="F63" s="304"/>
      <c r="G63" s="304"/>
      <c r="H63" s="304"/>
      <c r="I63" s="304"/>
      <c r="J63" s="304"/>
      <c r="K63" s="304"/>
      <c r="L63" s="304"/>
    </row>
    <row r="64" spans="2:15" x14ac:dyDescent="0.25">
      <c r="B64" s="836"/>
      <c r="C64" s="836"/>
      <c r="D64" s="836"/>
      <c r="E64" s="304"/>
      <c r="F64" s="304"/>
      <c r="G64" s="304"/>
      <c r="H64" s="304"/>
      <c r="I64" s="304"/>
      <c r="J64" s="304"/>
      <c r="K64" s="304"/>
      <c r="L64" s="304"/>
    </row>
    <row r="65" spans="2:19" x14ac:dyDescent="0.25">
      <c r="B65" s="836"/>
      <c r="C65" s="836"/>
      <c r="D65" s="836"/>
      <c r="E65" s="305"/>
      <c r="F65" s="305"/>
      <c r="G65" s="305"/>
      <c r="H65" s="305"/>
      <c r="I65" s="305"/>
      <c r="J65" s="305"/>
      <c r="K65" s="305"/>
      <c r="L65" s="305"/>
    </row>
    <row r="66" spans="2:19" x14ac:dyDescent="0.25">
      <c r="B66" s="840"/>
      <c r="C66" s="840"/>
      <c r="D66" s="840"/>
      <c r="E66" s="840"/>
      <c r="F66" s="840"/>
      <c r="G66" s="840"/>
      <c r="H66" s="840"/>
      <c r="I66" s="840"/>
      <c r="J66" s="840"/>
      <c r="K66" s="840"/>
      <c r="L66" s="840"/>
    </row>
    <row r="67" spans="2:19" x14ac:dyDescent="0.25">
      <c r="B67" s="836"/>
      <c r="C67" s="836"/>
      <c r="D67" s="836"/>
      <c r="E67" s="304"/>
      <c r="F67" s="304"/>
      <c r="G67" s="304"/>
      <c r="H67" s="304"/>
      <c r="I67" s="304"/>
      <c r="J67" s="304"/>
      <c r="K67" s="304"/>
      <c r="L67" s="304"/>
    </row>
    <row r="68" spans="2:19" x14ac:dyDescent="0.25">
      <c r="B68" s="836"/>
      <c r="C68" s="836"/>
      <c r="D68" s="836"/>
      <c r="E68" s="304"/>
      <c r="F68" s="304"/>
      <c r="G68" s="304"/>
      <c r="H68" s="304"/>
      <c r="I68" s="304"/>
      <c r="J68" s="304"/>
      <c r="K68" s="304"/>
      <c r="L68" s="304"/>
    </row>
    <row r="69" spans="2:19" x14ac:dyDescent="0.25">
      <c r="B69" s="836"/>
      <c r="C69" s="836"/>
      <c r="D69" s="836"/>
      <c r="E69" s="305"/>
      <c r="F69" s="305"/>
      <c r="G69" s="305"/>
      <c r="H69" s="305"/>
      <c r="I69" s="305"/>
      <c r="J69" s="305"/>
      <c r="K69" s="305"/>
      <c r="L69" s="305"/>
    </row>
    <row r="70" spans="2:19" x14ac:dyDescent="0.25">
      <c r="B70" s="840"/>
      <c r="C70" s="840"/>
      <c r="D70" s="840"/>
      <c r="E70" s="840"/>
      <c r="F70" s="840"/>
      <c r="G70" s="840"/>
      <c r="H70" s="840"/>
      <c r="I70" s="840"/>
      <c r="J70" s="840"/>
      <c r="K70" s="840"/>
      <c r="L70" s="840"/>
    </row>
    <row r="71" spans="2:19" x14ac:dyDescent="0.25">
      <c r="B71" s="836"/>
      <c r="C71" s="836"/>
      <c r="D71" s="836"/>
      <c r="E71" s="304"/>
      <c r="F71" s="304"/>
      <c r="G71" s="304"/>
      <c r="H71" s="304"/>
      <c r="I71" s="304"/>
      <c r="J71" s="304"/>
      <c r="K71" s="304"/>
      <c r="L71" s="304"/>
    </row>
    <row r="72" spans="2:19" x14ac:dyDescent="0.25">
      <c r="B72" s="836"/>
      <c r="C72" s="836"/>
      <c r="D72" s="836"/>
      <c r="E72" s="304"/>
      <c r="F72" s="304"/>
      <c r="G72" s="304"/>
      <c r="H72" s="304"/>
      <c r="I72" s="304"/>
      <c r="J72" s="304"/>
      <c r="K72" s="304"/>
      <c r="L72" s="304"/>
    </row>
    <row r="73" spans="2:19" x14ac:dyDescent="0.25">
      <c r="B73" s="836"/>
      <c r="C73" s="836"/>
      <c r="D73" s="836"/>
      <c r="E73" s="305"/>
      <c r="F73" s="305"/>
      <c r="G73" s="305"/>
      <c r="H73" s="305"/>
      <c r="I73" s="305"/>
      <c r="J73" s="305"/>
      <c r="K73" s="305"/>
      <c r="L73" s="305"/>
    </row>
    <row r="74" spans="2:19" x14ac:dyDescent="0.25">
      <c r="B74" s="267"/>
      <c r="C74" s="267"/>
      <c r="D74" s="267"/>
      <c r="E74" s="29"/>
      <c r="F74" s="29"/>
      <c r="G74" s="29"/>
      <c r="H74" s="29"/>
      <c r="I74" s="29"/>
      <c r="J74" s="29"/>
      <c r="K74" s="29"/>
      <c r="L74" s="29"/>
    </row>
    <row r="75" spans="2:19" x14ac:dyDescent="0.25">
      <c r="B75" s="717"/>
      <c r="C75" s="717"/>
      <c r="D75" s="717"/>
      <c r="E75" s="717"/>
      <c r="F75" s="717"/>
      <c r="G75" s="717"/>
      <c r="H75" s="717"/>
      <c r="I75" s="717"/>
      <c r="J75" s="717"/>
      <c r="K75" s="717"/>
      <c r="L75" s="717"/>
      <c r="S75" s="225"/>
    </row>
    <row r="76" spans="2:19" x14ac:dyDescent="0.25">
      <c r="B76" s="717"/>
      <c r="C76" s="717"/>
      <c r="D76" s="717"/>
      <c r="E76" s="717"/>
      <c r="F76" s="717"/>
      <c r="G76" s="717"/>
      <c r="H76" s="717"/>
      <c r="I76" s="717"/>
      <c r="J76" s="717"/>
      <c r="K76" s="717"/>
      <c r="L76" s="717"/>
      <c r="S76" s="225"/>
    </row>
    <row r="77" spans="2:19" x14ac:dyDescent="0.25">
      <c r="B77" s="267"/>
      <c r="C77" s="267"/>
      <c r="D77" s="267"/>
      <c r="E77" s="29"/>
      <c r="F77" s="29"/>
      <c r="G77" s="29"/>
      <c r="H77" s="29"/>
      <c r="I77" s="29"/>
      <c r="J77" s="29"/>
      <c r="K77" s="29"/>
      <c r="L77" s="29"/>
      <c r="S77" s="225"/>
    </row>
    <row r="78" spans="2:19" ht="14.1" customHeight="1" x14ac:dyDescent="0.25">
      <c r="B78" s="842"/>
      <c r="C78" s="842"/>
      <c r="D78" s="842"/>
      <c r="E78" s="842"/>
      <c r="F78" s="842"/>
      <c r="G78" s="303"/>
      <c r="H78" s="303"/>
      <c r="I78" s="303"/>
      <c r="J78" s="303"/>
      <c r="K78" s="225"/>
      <c r="L78" s="225"/>
    </row>
    <row r="79" spans="2:19" ht="14.1" customHeight="1" x14ac:dyDescent="0.25">
      <c r="B79" s="845"/>
      <c r="C79" s="845"/>
      <c r="D79" s="845"/>
      <c r="E79" s="845"/>
      <c r="F79" s="845"/>
      <c r="G79" s="306"/>
      <c r="H79" s="306"/>
      <c r="I79" s="306"/>
      <c r="J79" s="306"/>
      <c r="K79" s="225"/>
      <c r="L79" s="225"/>
    </row>
    <row r="80" spans="2:19" ht="27.75" customHeight="1" x14ac:dyDescent="0.25">
      <c r="B80" s="846"/>
      <c r="C80" s="846"/>
      <c r="D80" s="846"/>
      <c r="E80" s="846"/>
      <c r="F80" s="846"/>
      <c r="G80" s="306"/>
      <c r="H80" s="306"/>
      <c r="I80" s="306"/>
      <c r="J80" s="306"/>
      <c r="K80" s="225"/>
      <c r="L80" s="225"/>
      <c r="O80" s="302"/>
    </row>
    <row r="81" spans="1:16" ht="14.1" customHeight="1" x14ac:dyDescent="0.25">
      <c r="B81" s="846"/>
      <c r="C81" s="846"/>
      <c r="D81" s="846"/>
      <c r="E81" s="846"/>
      <c r="F81" s="846"/>
      <c r="G81" s="306"/>
      <c r="H81" s="306"/>
      <c r="I81" s="306"/>
      <c r="J81" s="306"/>
      <c r="K81" s="225"/>
      <c r="L81" s="225"/>
    </row>
    <row r="82" spans="1:16" ht="14.1" customHeight="1" x14ac:dyDescent="0.25">
      <c r="B82" s="842"/>
      <c r="C82" s="842"/>
      <c r="D82" s="842"/>
      <c r="E82" s="842"/>
      <c r="F82" s="842"/>
      <c r="G82" s="303"/>
      <c r="H82" s="303"/>
      <c r="I82" s="303"/>
      <c r="J82" s="303"/>
      <c r="K82" s="225"/>
      <c r="L82" s="225"/>
    </row>
    <row r="83" spans="1:16" ht="14.1" customHeight="1" x14ac:dyDescent="0.25">
      <c r="B83" s="843"/>
      <c r="C83" s="843"/>
      <c r="D83" s="843"/>
      <c r="E83" s="843"/>
      <c r="F83" s="843"/>
      <c r="G83" s="306"/>
      <c r="H83" s="306"/>
      <c r="I83" s="306"/>
      <c r="J83" s="306"/>
      <c r="K83" s="225"/>
      <c r="L83" s="225"/>
    </row>
    <row r="84" spans="1:16" ht="14.1" customHeight="1" x14ac:dyDescent="0.25">
      <c r="B84" s="844"/>
      <c r="C84" s="844"/>
      <c r="D84" s="844"/>
      <c r="E84" s="844"/>
      <c r="F84" s="844"/>
      <c r="G84" s="306"/>
      <c r="H84" s="306"/>
      <c r="I84" s="306"/>
      <c r="J84" s="306"/>
      <c r="K84" s="225"/>
      <c r="L84" s="225"/>
      <c r="O84" s="302"/>
    </row>
    <row r="85" spans="1:16" ht="14.1" customHeight="1" x14ac:dyDescent="0.25">
      <c r="B85" s="844"/>
      <c r="C85" s="844"/>
      <c r="D85" s="844"/>
      <c r="E85" s="844"/>
      <c r="F85" s="844"/>
      <c r="G85" s="306"/>
      <c r="H85" s="306"/>
      <c r="I85" s="306"/>
      <c r="J85" s="306"/>
      <c r="K85" s="225"/>
      <c r="L85" s="225"/>
    </row>
    <row r="86" spans="1:16" x14ac:dyDescent="0.25">
      <c r="J86" s="225"/>
      <c r="K86" s="225"/>
      <c r="L86" s="225"/>
    </row>
    <row r="87" spans="1:16" s="284" customFormat="1" x14ac:dyDescent="0.25">
      <c r="A87" s="282"/>
      <c r="B87" s="293"/>
      <c r="C87" s="293"/>
      <c r="D87" s="301"/>
      <c r="E87" s="301"/>
      <c r="F87" s="301"/>
      <c r="G87" s="301"/>
      <c r="H87" s="301"/>
      <c r="I87" s="301"/>
      <c r="J87" s="301"/>
      <c r="K87" s="301"/>
      <c r="L87" s="301"/>
      <c r="M87" s="302"/>
    </row>
    <row r="88" spans="1:16" x14ac:dyDescent="0.25">
      <c r="B88" s="832"/>
      <c r="C88" s="832"/>
      <c r="D88" s="832"/>
      <c r="E88" s="832"/>
      <c r="F88" s="832"/>
      <c r="G88" s="832"/>
      <c r="H88" s="832"/>
      <c r="I88" s="832"/>
      <c r="J88" s="832"/>
      <c r="K88" s="832"/>
      <c r="L88" s="832"/>
      <c r="O88" s="292"/>
      <c r="P88" s="292"/>
    </row>
    <row r="89" spans="1:16" x14ac:dyDescent="0.25">
      <c r="B89" s="833"/>
      <c r="C89" s="833"/>
      <c r="D89" s="833"/>
      <c r="E89" s="833"/>
      <c r="F89" s="833"/>
      <c r="G89" s="833"/>
      <c r="H89" s="833"/>
      <c r="I89" s="833"/>
      <c r="J89" s="833"/>
      <c r="K89" s="833"/>
      <c r="L89" s="833"/>
    </row>
    <row r="90" spans="1:16" x14ac:dyDescent="0.25">
      <c r="B90" s="271"/>
      <c r="C90" s="271"/>
      <c r="D90" s="271"/>
      <c r="E90" s="272"/>
      <c r="F90" s="272"/>
      <c r="G90" s="272"/>
      <c r="H90" s="272"/>
      <c r="I90" s="272"/>
      <c r="J90" s="272"/>
      <c r="K90" s="272"/>
      <c r="L90" s="272"/>
    </row>
    <row r="91" spans="1:16" x14ac:dyDescent="0.25">
      <c r="B91" s="717"/>
      <c r="C91" s="717"/>
      <c r="D91" s="717"/>
      <c r="E91" s="717"/>
      <c r="F91" s="717"/>
      <c r="G91" s="717"/>
      <c r="H91" s="717"/>
      <c r="I91" s="717"/>
      <c r="J91" s="717"/>
      <c r="K91" s="717"/>
      <c r="L91" s="717"/>
      <c r="O91" s="275"/>
    </row>
    <row r="92" spans="1:16" x14ac:dyDescent="0.25">
      <c r="B92" s="267"/>
      <c r="C92" s="267"/>
      <c r="D92" s="271"/>
      <c r="E92" s="272"/>
      <c r="F92" s="272"/>
      <c r="G92" s="272"/>
      <c r="H92" s="272"/>
      <c r="I92" s="272"/>
      <c r="J92" s="272"/>
      <c r="K92" s="272"/>
      <c r="L92" s="272"/>
      <c r="O92" s="275"/>
    </row>
    <row r="93" spans="1:16" x14ac:dyDescent="0.25">
      <c r="B93" s="841"/>
      <c r="C93" s="841"/>
      <c r="D93" s="841"/>
      <c r="E93" s="303"/>
      <c r="F93" s="303"/>
      <c r="G93" s="303"/>
      <c r="H93" s="303"/>
      <c r="I93" s="303"/>
      <c r="J93" s="303"/>
      <c r="K93" s="303"/>
      <c r="L93" s="303"/>
      <c r="O93" s="275"/>
    </row>
    <row r="94" spans="1:16" x14ac:dyDescent="0.25">
      <c r="B94" s="842"/>
      <c r="C94" s="842"/>
      <c r="D94" s="842"/>
      <c r="E94" s="842"/>
      <c r="F94" s="842"/>
      <c r="G94" s="842"/>
      <c r="H94" s="842"/>
      <c r="I94" s="842"/>
      <c r="J94" s="842"/>
      <c r="K94" s="842"/>
      <c r="L94" s="842"/>
    </row>
    <row r="95" spans="1:16" x14ac:dyDescent="0.25">
      <c r="B95" s="842"/>
      <c r="C95" s="842"/>
      <c r="D95" s="842"/>
      <c r="E95" s="842"/>
      <c r="F95" s="842"/>
      <c r="G95" s="842"/>
      <c r="H95" s="842"/>
      <c r="I95" s="842"/>
      <c r="J95" s="842"/>
      <c r="K95" s="842"/>
      <c r="L95" s="842"/>
    </row>
    <row r="96" spans="1:16" x14ac:dyDescent="0.25">
      <c r="B96" s="836"/>
      <c r="C96" s="836"/>
      <c r="D96" s="836"/>
      <c r="E96" s="304"/>
      <c r="F96" s="304"/>
      <c r="G96" s="304"/>
      <c r="H96" s="304"/>
      <c r="I96" s="304"/>
      <c r="J96" s="304"/>
      <c r="K96" s="304"/>
      <c r="L96" s="304"/>
    </row>
    <row r="97" spans="2:12" x14ac:dyDescent="0.25">
      <c r="B97" s="836"/>
      <c r="C97" s="836"/>
      <c r="D97" s="836"/>
      <c r="E97" s="304"/>
      <c r="F97" s="304"/>
      <c r="G97" s="304"/>
      <c r="H97" s="304"/>
      <c r="I97" s="304"/>
      <c r="J97" s="304"/>
      <c r="K97" s="304"/>
      <c r="L97" s="304"/>
    </row>
    <row r="98" spans="2:12" x14ac:dyDescent="0.25">
      <c r="B98" s="836"/>
      <c r="C98" s="836"/>
      <c r="D98" s="836"/>
      <c r="E98" s="305"/>
      <c r="F98" s="305"/>
      <c r="G98" s="305"/>
      <c r="H98" s="305"/>
      <c r="I98" s="305"/>
      <c r="J98" s="305"/>
      <c r="K98" s="305"/>
      <c r="L98" s="305"/>
    </row>
    <row r="99" spans="2:12" x14ac:dyDescent="0.25">
      <c r="B99" s="842"/>
      <c r="C99" s="842"/>
      <c r="D99" s="842"/>
      <c r="E99" s="842"/>
      <c r="F99" s="842"/>
      <c r="G99" s="842"/>
      <c r="H99" s="842"/>
      <c r="I99" s="842"/>
      <c r="J99" s="842"/>
      <c r="K99" s="842"/>
      <c r="L99" s="842"/>
    </row>
    <row r="100" spans="2:12" x14ac:dyDescent="0.25">
      <c r="B100" s="842"/>
      <c r="C100" s="842"/>
      <c r="D100" s="842"/>
      <c r="E100" s="842"/>
      <c r="F100" s="842"/>
      <c r="G100" s="842"/>
      <c r="H100" s="842"/>
      <c r="I100" s="842"/>
      <c r="J100" s="842"/>
      <c r="K100" s="842"/>
      <c r="L100" s="842"/>
    </row>
    <row r="101" spans="2:12" x14ac:dyDescent="0.25">
      <c r="B101" s="836"/>
      <c r="C101" s="836"/>
      <c r="D101" s="836"/>
      <c r="E101" s="304"/>
      <c r="F101" s="304"/>
      <c r="G101" s="304"/>
      <c r="H101" s="304"/>
      <c r="I101" s="304"/>
      <c r="J101" s="304"/>
      <c r="K101" s="304"/>
      <c r="L101" s="304"/>
    </row>
    <row r="102" spans="2:12" x14ac:dyDescent="0.25">
      <c r="B102" s="836"/>
      <c r="C102" s="836"/>
      <c r="D102" s="836"/>
      <c r="E102" s="304"/>
      <c r="F102" s="304"/>
      <c r="G102" s="304"/>
      <c r="H102" s="304"/>
      <c r="I102" s="304"/>
      <c r="J102" s="304"/>
      <c r="K102" s="304"/>
      <c r="L102" s="304"/>
    </row>
    <row r="103" spans="2:12" x14ac:dyDescent="0.25">
      <c r="B103" s="836"/>
      <c r="C103" s="836"/>
      <c r="D103" s="836"/>
      <c r="E103" s="305"/>
      <c r="F103" s="305"/>
      <c r="G103" s="305"/>
      <c r="H103" s="305"/>
      <c r="I103" s="305"/>
      <c r="J103" s="305"/>
      <c r="K103" s="305"/>
      <c r="L103" s="305"/>
    </row>
    <row r="104" spans="2:12" x14ac:dyDescent="0.25">
      <c r="B104" s="842"/>
      <c r="C104" s="842"/>
      <c r="D104" s="842"/>
      <c r="E104" s="842"/>
      <c r="F104" s="842"/>
      <c r="G104" s="842"/>
      <c r="H104" s="842"/>
      <c r="I104" s="842"/>
      <c r="J104" s="842"/>
      <c r="K104" s="842"/>
      <c r="L104" s="842"/>
    </row>
    <row r="105" spans="2:12" x14ac:dyDescent="0.25">
      <c r="B105" s="842"/>
      <c r="C105" s="842"/>
      <c r="D105" s="842"/>
      <c r="E105" s="842"/>
      <c r="F105" s="842"/>
      <c r="G105" s="842"/>
      <c r="H105" s="842"/>
      <c r="I105" s="842"/>
      <c r="J105" s="842"/>
      <c r="K105" s="842"/>
      <c r="L105" s="842"/>
    </row>
    <row r="106" spans="2:12" x14ac:dyDescent="0.25">
      <c r="B106" s="836"/>
      <c r="C106" s="836"/>
      <c r="D106" s="836"/>
      <c r="E106" s="304"/>
      <c r="F106" s="304"/>
      <c r="G106" s="304"/>
      <c r="H106" s="304"/>
      <c r="I106" s="304"/>
      <c r="J106" s="304"/>
      <c r="K106" s="304"/>
      <c r="L106" s="304"/>
    </row>
    <row r="107" spans="2:12" x14ac:dyDescent="0.25">
      <c r="B107" s="836"/>
      <c r="C107" s="836"/>
      <c r="D107" s="836"/>
      <c r="E107" s="304"/>
      <c r="F107" s="304"/>
      <c r="G107" s="304"/>
      <c r="H107" s="304"/>
      <c r="I107" s="304"/>
      <c r="J107" s="304"/>
      <c r="K107" s="304"/>
      <c r="L107" s="304"/>
    </row>
    <row r="108" spans="2:12" x14ac:dyDescent="0.25">
      <c r="B108" s="836"/>
      <c r="C108" s="836"/>
      <c r="D108" s="836"/>
      <c r="E108" s="305"/>
      <c r="F108" s="305"/>
      <c r="G108" s="305"/>
      <c r="H108" s="305"/>
      <c r="I108" s="305"/>
      <c r="J108" s="305"/>
      <c r="K108" s="305"/>
      <c r="L108" s="305"/>
    </row>
    <row r="109" spans="2:12" x14ac:dyDescent="0.25">
      <c r="B109" s="842"/>
      <c r="C109" s="842"/>
      <c r="D109" s="842"/>
      <c r="E109" s="842"/>
      <c r="F109" s="842"/>
      <c r="G109" s="842"/>
      <c r="H109" s="842"/>
      <c r="I109" s="842"/>
      <c r="J109" s="842"/>
      <c r="K109" s="842"/>
      <c r="L109" s="842"/>
    </row>
    <row r="110" spans="2:12" x14ac:dyDescent="0.25">
      <c r="B110" s="842"/>
      <c r="C110" s="842"/>
      <c r="D110" s="842"/>
      <c r="E110" s="842"/>
      <c r="F110" s="842"/>
      <c r="G110" s="842"/>
      <c r="H110" s="842"/>
      <c r="I110" s="842"/>
      <c r="J110" s="842"/>
      <c r="K110" s="842"/>
      <c r="L110" s="842"/>
    </row>
    <row r="111" spans="2:12" x14ac:dyDescent="0.25">
      <c r="B111" s="836"/>
      <c r="C111" s="836"/>
      <c r="D111" s="836"/>
      <c r="E111" s="304"/>
      <c r="F111" s="304"/>
      <c r="G111" s="304"/>
      <c r="H111" s="304"/>
      <c r="I111" s="304"/>
      <c r="J111" s="304"/>
      <c r="K111" s="304"/>
      <c r="L111" s="304"/>
    </row>
    <row r="112" spans="2:12" x14ac:dyDescent="0.25">
      <c r="B112" s="836"/>
      <c r="C112" s="836"/>
      <c r="D112" s="836"/>
      <c r="E112" s="304"/>
      <c r="F112" s="304"/>
      <c r="G112" s="304"/>
      <c r="H112" s="304"/>
      <c r="I112" s="304"/>
      <c r="J112" s="304"/>
      <c r="K112" s="304"/>
      <c r="L112" s="304"/>
    </row>
    <row r="113" spans="2:12" x14ac:dyDescent="0.25">
      <c r="B113" s="836"/>
      <c r="C113" s="836"/>
      <c r="D113" s="836"/>
      <c r="E113" s="305"/>
      <c r="F113" s="305"/>
      <c r="G113" s="305"/>
      <c r="H113" s="305"/>
      <c r="I113" s="305"/>
      <c r="J113" s="305"/>
      <c r="K113" s="305"/>
      <c r="L113" s="305"/>
    </row>
    <row r="114" spans="2:12" x14ac:dyDescent="0.25">
      <c r="B114" s="842"/>
      <c r="C114" s="842"/>
      <c r="D114" s="842"/>
      <c r="E114" s="842"/>
      <c r="F114" s="842"/>
      <c r="G114" s="842"/>
      <c r="H114" s="842"/>
      <c r="I114" s="842"/>
      <c r="J114" s="842"/>
      <c r="K114" s="842"/>
      <c r="L114" s="842"/>
    </row>
    <row r="115" spans="2:12" x14ac:dyDescent="0.25">
      <c r="B115" s="842"/>
      <c r="C115" s="842"/>
      <c r="D115" s="842"/>
      <c r="E115" s="842"/>
      <c r="F115" s="842"/>
      <c r="G115" s="842"/>
      <c r="H115" s="842"/>
      <c r="I115" s="842"/>
      <c r="J115" s="842"/>
      <c r="K115" s="842"/>
      <c r="L115" s="842"/>
    </row>
    <row r="116" spans="2:12" x14ac:dyDescent="0.25">
      <c r="B116" s="836"/>
      <c r="C116" s="836"/>
      <c r="D116" s="836"/>
      <c r="E116" s="304"/>
      <c r="F116" s="304"/>
      <c r="G116" s="304"/>
      <c r="H116" s="304"/>
      <c r="I116" s="304"/>
      <c r="J116" s="304"/>
      <c r="K116" s="304"/>
      <c r="L116" s="304"/>
    </row>
    <row r="117" spans="2:12" x14ac:dyDescent="0.25">
      <c r="B117" s="836"/>
      <c r="C117" s="836"/>
      <c r="D117" s="836"/>
      <c r="E117" s="304"/>
      <c r="F117" s="304"/>
      <c r="G117" s="304"/>
      <c r="H117" s="304"/>
      <c r="I117" s="304"/>
      <c r="J117" s="304"/>
      <c r="K117" s="304"/>
      <c r="L117" s="304"/>
    </row>
    <row r="118" spans="2:12" x14ac:dyDescent="0.25">
      <c r="B118" s="836"/>
      <c r="C118" s="836"/>
      <c r="D118" s="836"/>
      <c r="E118" s="305"/>
      <c r="F118" s="305"/>
      <c r="G118" s="305"/>
      <c r="H118" s="305"/>
      <c r="I118" s="305"/>
      <c r="J118" s="305"/>
      <c r="K118" s="305"/>
      <c r="L118" s="305"/>
    </row>
    <row r="119" spans="2:12" x14ac:dyDescent="0.25">
      <c r="B119" s="842"/>
      <c r="C119" s="842"/>
      <c r="D119" s="842"/>
      <c r="E119" s="842"/>
      <c r="F119" s="842"/>
      <c r="G119" s="842"/>
      <c r="H119" s="842"/>
      <c r="I119" s="842"/>
      <c r="J119" s="842"/>
      <c r="K119" s="842"/>
      <c r="L119" s="842"/>
    </row>
    <row r="120" spans="2:12" x14ac:dyDescent="0.25">
      <c r="B120" s="842"/>
      <c r="C120" s="842"/>
      <c r="D120" s="842"/>
      <c r="E120" s="842"/>
      <c r="F120" s="842"/>
      <c r="G120" s="842"/>
      <c r="H120" s="842"/>
      <c r="I120" s="842"/>
      <c r="J120" s="842"/>
      <c r="K120" s="842"/>
      <c r="L120" s="842"/>
    </row>
    <row r="121" spans="2:12" x14ac:dyDescent="0.25">
      <c r="B121" s="836"/>
      <c r="C121" s="836"/>
      <c r="D121" s="836"/>
      <c r="E121" s="304"/>
      <c r="F121" s="304"/>
      <c r="G121" s="304"/>
      <c r="H121" s="304"/>
      <c r="I121" s="304"/>
      <c r="J121" s="304"/>
      <c r="K121" s="304"/>
      <c r="L121" s="304"/>
    </row>
    <row r="122" spans="2:12" x14ac:dyDescent="0.25">
      <c r="B122" s="836"/>
      <c r="C122" s="836"/>
      <c r="D122" s="836"/>
      <c r="E122" s="304"/>
      <c r="F122" s="304"/>
      <c r="G122" s="304"/>
      <c r="H122" s="304"/>
      <c r="I122" s="304"/>
      <c r="J122" s="304"/>
      <c r="K122" s="304"/>
      <c r="L122" s="304"/>
    </row>
    <row r="123" spans="2:12" x14ac:dyDescent="0.25">
      <c r="B123" s="836"/>
      <c r="C123" s="836"/>
      <c r="D123" s="836"/>
      <c r="E123" s="305"/>
      <c r="F123" s="305"/>
      <c r="G123" s="305"/>
      <c r="H123" s="305"/>
      <c r="I123" s="305"/>
      <c r="J123" s="305"/>
      <c r="K123" s="305"/>
      <c r="L123" s="305"/>
    </row>
    <row r="124" spans="2:12" x14ac:dyDescent="0.25">
      <c r="B124" s="842"/>
      <c r="C124" s="842"/>
      <c r="D124" s="842"/>
      <c r="E124" s="842"/>
      <c r="F124" s="842"/>
      <c r="G124" s="842"/>
      <c r="H124" s="842"/>
      <c r="I124" s="842"/>
      <c r="J124" s="842"/>
      <c r="K124" s="842"/>
      <c r="L124" s="842"/>
    </row>
    <row r="125" spans="2:12" x14ac:dyDescent="0.25">
      <c r="B125" s="842"/>
      <c r="C125" s="842"/>
      <c r="D125" s="842"/>
      <c r="E125" s="842"/>
      <c r="F125" s="842"/>
      <c r="G125" s="842"/>
      <c r="H125" s="842"/>
      <c r="I125" s="842"/>
      <c r="J125" s="842"/>
      <c r="K125" s="842"/>
      <c r="L125" s="842"/>
    </row>
    <row r="126" spans="2:12" x14ac:dyDescent="0.25">
      <c r="B126" s="836"/>
      <c r="C126" s="836"/>
      <c r="D126" s="836"/>
      <c r="E126" s="304"/>
      <c r="F126" s="304"/>
      <c r="G126" s="304"/>
      <c r="H126" s="304"/>
      <c r="I126" s="304"/>
      <c r="J126" s="304"/>
      <c r="K126" s="304"/>
      <c r="L126" s="304"/>
    </row>
    <row r="127" spans="2:12" x14ac:dyDescent="0.25">
      <c r="B127" s="836"/>
      <c r="C127" s="836"/>
      <c r="D127" s="836"/>
      <c r="E127" s="304"/>
      <c r="F127" s="304"/>
      <c r="G127" s="304"/>
      <c r="H127" s="304"/>
      <c r="I127" s="304"/>
      <c r="J127" s="304"/>
      <c r="K127" s="304"/>
      <c r="L127" s="304"/>
    </row>
    <row r="128" spans="2:12" x14ac:dyDescent="0.25">
      <c r="B128" s="836"/>
      <c r="C128" s="836"/>
      <c r="D128" s="836"/>
      <c r="E128" s="305"/>
      <c r="F128" s="305"/>
      <c r="G128" s="305"/>
      <c r="H128" s="305"/>
      <c r="I128" s="305"/>
      <c r="J128" s="305"/>
      <c r="K128" s="305"/>
      <c r="L128" s="305"/>
    </row>
    <row r="129" spans="2:19" hidden="1" x14ac:dyDescent="0.25">
      <c r="B129" s="842"/>
      <c r="C129" s="842"/>
      <c r="D129" s="842"/>
      <c r="E129" s="842"/>
      <c r="F129" s="842"/>
      <c r="G129" s="842"/>
      <c r="H129" s="842"/>
      <c r="I129" s="842"/>
      <c r="J129" s="842"/>
      <c r="K129" s="842"/>
      <c r="L129" s="842"/>
    </row>
    <row r="130" spans="2:19" hidden="1" x14ac:dyDescent="0.25">
      <c r="B130" s="842"/>
      <c r="C130" s="842"/>
      <c r="D130" s="842"/>
      <c r="E130" s="842"/>
      <c r="F130" s="842"/>
      <c r="G130" s="842"/>
      <c r="H130" s="842"/>
      <c r="I130" s="842"/>
      <c r="J130" s="842"/>
      <c r="K130" s="842"/>
      <c r="L130" s="842"/>
    </row>
    <row r="131" spans="2:19" hidden="1" x14ac:dyDescent="0.25">
      <c r="B131" s="836"/>
      <c r="C131" s="836"/>
      <c r="D131" s="836"/>
      <c r="E131" s="304"/>
      <c r="F131" s="304"/>
      <c r="G131" s="304"/>
      <c r="H131" s="304"/>
      <c r="I131" s="304"/>
      <c r="J131" s="304"/>
      <c r="K131" s="304"/>
      <c r="L131" s="304"/>
    </row>
    <row r="132" spans="2:19" hidden="1" x14ac:dyDescent="0.25">
      <c r="B132" s="836"/>
      <c r="C132" s="836"/>
      <c r="D132" s="836"/>
      <c r="E132" s="304"/>
      <c r="F132" s="304"/>
      <c r="G132" s="304"/>
      <c r="H132" s="304"/>
      <c r="I132" s="304"/>
      <c r="J132" s="304"/>
      <c r="K132" s="304"/>
      <c r="L132" s="304"/>
    </row>
    <row r="133" spans="2:19" hidden="1" x14ac:dyDescent="0.25">
      <c r="B133" s="836"/>
      <c r="C133" s="836"/>
      <c r="D133" s="836"/>
      <c r="E133" s="305"/>
      <c r="F133" s="305"/>
      <c r="G133" s="305"/>
      <c r="H133" s="305"/>
      <c r="I133" s="305"/>
      <c r="J133" s="305"/>
      <c r="K133" s="305"/>
      <c r="L133" s="305"/>
    </row>
    <row r="134" spans="2:19" x14ac:dyDescent="0.25">
      <c r="B134" s="267"/>
      <c r="C134" s="267"/>
      <c r="D134" s="267"/>
      <c r="E134" s="29"/>
      <c r="F134" s="29"/>
      <c r="G134" s="29"/>
      <c r="H134" s="29"/>
      <c r="I134" s="29"/>
      <c r="J134" s="29"/>
      <c r="K134" s="29"/>
      <c r="L134" s="29"/>
    </row>
    <row r="135" spans="2:19" x14ac:dyDescent="0.25">
      <c r="B135" s="717"/>
      <c r="C135" s="717"/>
      <c r="D135" s="717"/>
      <c r="E135" s="717"/>
      <c r="F135" s="717"/>
      <c r="G135" s="717"/>
      <c r="H135" s="717"/>
      <c r="I135" s="717"/>
      <c r="J135" s="717"/>
      <c r="K135" s="717"/>
      <c r="L135" s="717"/>
      <c r="S135" s="225"/>
    </row>
    <row r="136" spans="2:19" x14ac:dyDescent="0.25">
      <c r="B136" s="717"/>
      <c r="C136" s="717"/>
      <c r="D136" s="717"/>
      <c r="E136" s="717"/>
      <c r="F136" s="717"/>
      <c r="G136" s="717"/>
      <c r="H136" s="717"/>
      <c r="I136" s="717"/>
      <c r="J136" s="717"/>
      <c r="K136" s="717"/>
      <c r="L136" s="717"/>
      <c r="S136" s="225"/>
    </row>
    <row r="137" spans="2:19" x14ac:dyDescent="0.25">
      <c r="B137" s="267"/>
      <c r="C137" s="267"/>
      <c r="D137" s="267"/>
      <c r="E137" s="29"/>
      <c r="F137" s="29"/>
      <c r="G137" s="29"/>
      <c r="H137" s="29"/>
      <c r="I137" s="29"/>
      <c r="J137" s="29"/>
      <c r="K137" s="29"/>
      <c r="L137" s="29"/>
      <c r="S137" s="225"/>
    </row>
    <row r="138" spans="2:19" ht="14.1" customHeight="1" x14ac:dyDescent="0.25">
      <c r="B138" s="842"/>
      <c r="C138" s="842"/>
      <c r="D138" s="842"/>
      <c r="E138" s="842"/>
      <c r="F138" s="842"/>
      <c r="G138" s="303"/>
      <c r="H138" s="303"/>
      <c r="I138" s="303"/>
      <c r="J138" s="303"/>
      <c r="K138" s="225"/>
      <c r="L138" s="225"/>
    </row>
    <row r="139" spans="2:19" ht="14.1" customHeight="1" x14ac:dyDescent="0.25">
      <c r="B139" s="836"/>
      <c r="C139" s="836"/>
      <c r="D139" s="836"/>
      <c r="E139" s="836"/>
      <c r="F139" s="836"/>
      <c r="G139" s="306"/>
      <c r="H139" s="306"/>
      <c r="I139" s="306"/>
      <c r="J139" s="306"/>
      <c r="K139" s="225"/>
      <c r="L139" s="225"/>
    </row>
    <row r="140" spans="2:19" ht="14.1" customHeight="1" x14ac:dyDescent="0.25">
      <c r="B140" s="847"/>
      <c r="C140" s="847"/>
      <c r="D140" s="847"/>
      <c r="E140" s="847"/>
      <c r="F140" s="847"/>
      <c r="G140" s="306"/>
      <c r="H140" s="306"/>
      <c r="I140" s="306"/>
      <c r="J140" s="306"/>
      <c r="K140" s="225"/>
      <c r="L140" s="225"/>
    </row>
    <row r="141" spans="2:19" ht="14.1" customHeight="1" x14ac:dyDescent="0.25">
      <c r="B141" s="847"/>
      <c r="C141" s="847"/>
      <c r="D141" s="847"/>
      <c r="E141" s="847"/>
      <c r="F141" s="847"/>
      <c r="G141" s="306"/>
      <c r="H141" s="306"/>
      <c r="I141" s="306"/>
      <c r="J141" s="306"/>
      <c r="K141" s="225"/>
      <c r="L141" s="225"/>
    </row>
    <row r="142" spans="2:19" x14ac:dyDescent="0.25">
      <c r="B142" s="842"/>
      <c r="C142" s="842"/>
      <c r="D142" s="842"/>
      <c r="E142" s="842"/>
      <c r="F142" s="842"/>
      <c r="G142" s="303"/>
      <c r="H142" s="303"/>
      <c r="I142" s="303"/>
      <c r="J142" s="303"/>
      <c r="K142" s="225"/>
      <c r="L142" s="225"/>
    </row>
    <row r="143" spans="2:19" ht="14.1" customHeight="1" x14ac:dyDescent="0.25">
      <c r="B143" s="836"/>
      <c r="C143" s="836"/>
      <c r="D143" s="836"/>
      <c r="E143" s="836"/>
      <c r="F143" s="836"/>
      <c r="G143" s="306"/>
      <c r="H143" s="306"/>
      <c r="I143" s="306"/>
      <c r="J143" s="306"/>
      <c r="K143" s="225"/>
      <c r="L143" s="225"/>
    </row>
    <row r="144" spans="2:19" ht="14.1" customHeight="1" x14ac:dyDescent="0.25">
      <c r="B144" s="847"/>
      <c r="C144" s="847"/>
      <c r="D144" s="847"/>
      <c r="E144" s="847"/>
      <c r="F144" s="847"/>
      <c r="G144" s="306"/>
      <c r="H144" s="306"/>
      <c r="I144" s="306"/>
      <c r="J144" s="306"/>
      <c r="K144" s="225"/>
      <c r="L144" s="225"/>
    </row>
    <row r="145" spans="1:16" ht="14.1" customHeight="1" x14ac:dyDescent="0.25">
      <c r="B145" s="847"/>
      <c r="C145" s="847"/>
      <c r="D145" s="847"/>
      <c r="E145" s="847"/>
      <c r="F145" s="847"/>
      <c r="G145" s="306"/>
      <c r="H145" s="306"/>
      <c r="I145" s="306"/>
      <c r="J145" s="306"/>
      <c r="K145" s="225"/>
      <c r="L145" s="225"/>
    </row>
    <row r="147" spans="1:16" s="284" customFormat="1" x14ac:dyDescent="0.25">
      <c r="A147" s="282"/>
      <c r="B147" s="285"/>
      <c r="C147" s="285"/>
      <c r="D147" s="301"/>
      <c r="E147" s="301"/>
      <c r="F147" s="301"/>
      <c r="G147" s="301"/>
      <c r="H147" s="301"/>
      <c r="I147" s="301"/>
      <c r="J147" s="301"/>
      <c r="K147" s="301"/>
      <c r="L147" s="301"/>
      <c r="M147" s="302"/>
    </row>
    <row r="148" spans="1:16" x14ac:dyDescent="0.25">
      <c r="B148" s="832"/>
      <c r="C148" s="832"/>
      <c r="D148" s="832"/>
      <c r="E148" s="832"/>
      <c r="F148" s="832"/>
      <c r="G148" s="832"/>
      <c r="H148" s="832"/>
      <c r="I148" s="832"/>
      <c r="J148" s="832"/>
      <c r="K148" s="832"/>
      <c r="L148" s="832"/>
      <c r="O148" s="292"/>
      <c r="P148" s="292"/>
    </row>
    <row r="149" spans="1:16" x14ac:dyDescent="0.25">
      <c r="B149" s="833"/>
      <c r="C149" s="833"/>
      <c r="D149" s="833"/>
      <c r="E149" s="833"/>
      <c r="F149" s="833"/>
      <c r="G149" s="833"/>
      <c r="H149" s="833"/>
      <c r="I149" s="833"/>
      <c r="J149" s="833"/>
      <c r="K149" s="833"/>
      <c r="L149" s="833"/>
    </row>
    <row r="150" spans="1:16" x14ac:dyDescent="0.25">
      <c r="B150" s="271"/>
      <c r="C150" s="271"/>
      <c r="D150" s="271"/>
      <c r="E150" s="272"/>
      <c r="F150" s="272"/>
      <c r="G150" s="272"/>
      <c r="H150" s="272"/>
      <c r="I150" s="272"/>
      <c r="J150" s="272"/>
      <c r="K150" s="272"/>
      <c r="L150" s="272"/>
    </row>
    <row r="151" spans="1:16" x14ac:dyDescent="0.25">
      <c r="B151" s="717"/>
      <c r="C151" s="717"/>
      <c r="D151" s="717"/>
      <c r="E151" s="717"/>
      <c r="F151" s="717"/>
      <c r="G151" s="717"/>
      <c r="H151" s="717"/>
      <c r="I151" s="717"/>
      <c r="J151" s="717"/>
      <c r="K151" s="717"/>
      <c r="L151" s="717"/>
      <c r="O151" s="275"/>
    </row>
    <row r="152" spans="1:16" x14ac:dyDescent="0.25">
      <c r="B152" s="717"/>
      <c r="C152" s="717"/>
      <c r="D152" s="717"/>
      <c r="E152" s="717"/>
      <c r="F152" s="717"/>
      <c r="G152" s="717"/>
      <c r="H152" s="717"/>
      <c r="I152" s="717"/>
      <c r="J152" s="717"/>
      <c r="K152" s="717"/>
      <c r="L152" s="717"/>
      <c r="O152" s="275"/>
    </row>
    <row r="153" spans="1:16" x14ac:dyDescent="0.25">
      <c r="B153" s="267"/>
      <c r="C153" s="267"/>
      <c r="D153" s="271"/>
      <c r="E153" s="272"/>
      <c r="F153" s="272"/>
      <c r="G153" s="272"/>
      <c r="H153" s="272"/>
      <c r="I153" s="272"/>
      <c r="J153" s="272"/>
      <c r="K153" s="272"/>
      <c r="L153" s="272"/>
      <c r="O153" s="275"/>
    </row>
    <row r="154" spans="1:16" x14ac:dyDescent="0.25">
      <c r="B154" s="841"/>
      <c r="C154" s="841"/>
      <c r="D154" s="841"/>
      <c r="E154" s="303"/>
      <c r="F154" s="303"/>
      <c r="G154" s="303"/>
      <c r="H154" s="303"/>
      <c r="I154" s="303"/>
      <c r="J154" s="303"/>
      <c r="K154" s="303"/>
      <c r="L154" s="303"/>
      <c r="O154" s="275"/>
    </row>
    <row r="155" spans="1:16" x14ac:dyDescent="0.25">
      <c r="B155" s="842"/>
      <c r="C155" s="842"/>
      <c r="D155" s="842"/>
      <c r="E155" s="842"/>
      <c r="F155" s="842"/>
      <c r="G155" s="842"/>
      <c r="H155" s="842"/>
      <c r="I155" s="842"/>
      <c r="J155" s="842"/>
      <c r="K155" s="842"/>
      <c r="L155" s="842"/>
    </row>
    <row r="156" spans="1:16" x14ac:dyDescent="0.25">
      <c r="B156" s="842"/>
      <c r="C156" s="842"/>
      <c r="D156" s="842"/>
      <c r="E156" s="842"/>
      <c r="F156" s="842"/>
      <c r="G156" s="842"/>
      <c r="H156" s="842"/>
      <c r="I156" s="842"/>
      <c r="J156" s="842"/>
      <c r="K156" s="842"/>
      <c r="L156" s="842"/>
    </row>
    <row r="157" spans="1:16" x14ac:dyDescent="0.25">
      <c r="B157" s="836"/>
      <c r="C157" s="836"/>
      <c r="D157" s="836"/>
      <c r="E157" s="304"/>
      <c r="F157" s="304"/>
      <c r="G157" s="304"/>
      <c r="H157" s="304"/>
      <c r="I157" s="304"/>
      <c r="J157" s="304"/>
      <c r="K157" s="304"/>
      <c r="L157" s="304"/>
    </row>
    <row r="158" spans="1:16" x14ac:dyDescent="0.25">
      <c r="B158" s="836"/>
      <c r="C158" s="836"/>
      <c r="D158" s="836"/>
      <c r="E158" s="304"/>
      <c r="F158" s="304"/>
      <c r="G158" s="304"/>
      <c r="H158" s="304"/>
      <c r="I158" s="304"/>
      <c r="J158" s="304"/>
      <c r="K158" s="304"/>
      <c r="L158" s="304"/>
    </row>
    <row r="159" spans="1:16" x14ac:dyDescent="0.25">
      <c r="B159" s="836"/>
      <c r="C159" s="836"/>
      <c r="D159" s="836"/>
      <c r="E159" s="305"/>
      <c r="F159" s="305"/>
      <c r="G159" s="305"/>
      <c r="H159" s="305"/>
      <c r="I159" s="305"/>
      <c r="J159" s="305"/>
      <c r="K159" s="305"/>
      <c r="L159" s="305"/>
    </row>
    <row r="160" spans="1:16" x14ac:dyDescent="0.25">
      <c r="B160" s="842"/>
      <c r="C160" s="842"/>
      <c r="D160" s="842"/>
      <c r="E160" s="842"/>
      <c r="F160" s="842"/>
      <c r="G160" s="842"/>
      <c r="H160" s="842"/>
      <c r="I160" s="842"/>
      <c r="J160" s="842"/>
      <c r="K160" s="842"/>
      <c r="L160" s="842"/>
    </row>
    <row r="161" spans="2:12" x14ac:dyDescent="0.25">
      <c r="B161" s="842"/>
      <c r="C161" s="842"/>
      <c r="D161" s="842"/>
      <c r="E161" s="842"/>
      <c r="F161" s="842"/>
      <c r="G161" s="842"/>
      <c r="H161" s="842"/>
      <c r="I161" s="842"/>
      <c r="J161" s="842"/>
      <c r="K161" s="842"/>
      <c r="L161" s="842"/>
    </row>
    <row r="162" spans="2:12" x14ac:dyDescent="0.25">
      <c r="B162" s="836"/>
      <c r="C162" s="836"/>
      <c r="D162" s="836"/>
      <c r="E162" s="304"/>
      <c r="F162" s="304"/>
      <c r="G162" s="304"/>
      <c r="H162" s="304"/>
      <c r="I162" s="304"/>
      <c r="J162" s="304"/>
      <c r="K162" s="304"/>
      <c r="L162" s="304"/>
    </row>
    <row r="163" spans="2:12" x14ac:dyDescent="0.25">
      <c r="B163" s="836"/>
      <c r="C163" s="836"/>
      <c r="D163" s="836"/>
      <c r="E163" s="304"/>
      <c r="F163" s="304"/>
      <c r="G163" s="304"/>
      <c r="H163" s="304"/>
      <c r="I163" s="304"/>
      <c r="J163" s="304"/>
      <c r="K163" s="304"/>
      <c r="L163" s="304"/>
    </row>
    <row r="164" spans="2:12" x14ac:dyDescent="0.25">
      <c r="B164" s="836"/>
      <c r="C164" s="836"/>
      <c r="D164" s="836"/>
      <c r="E164" s="305"/>
      <c r="F164" s="305"/>
      <c r="G164" s="305"/>
      <c r="H164" s="305"/>
      <c r="I164" s="305"/>
      <c r="J164" s="305"/>
      <c r="K164" s="305"/>
      <c r="L164" s="305"/>
    </row>
    <row r="165" spans="2:12" x14ac:dyDescent="0.25">
      <c r="B165" s="842"/>
      <c r="C165" s="842"/>
      <c r="D165" s="842"/>
      <c r="E165" s="842"/>
      <c r="F165" s="842"/>
      <c r="G165" s="842"/>
      <c r="H165" s="842"/>
      <c r="I165" s="842"/>
      <c r="J165" s="842"/>
      <c r="K165" s="842"/>
      <c r="L165" s="842"/>
    </row>
    <row r="166" spans="2:12" x14ac:dyDescent="0.25">
      <c r="B166" s="842"/>
      <c r="C166" s="842"/>
      <c r="D166" s="842"/>
      <c r="E166" s="842"/>
      <c r="F166" s="842"/>
      <c r="G166" s="842"/>
      <c r="H166" s="842"/>
      <c r="I166" s="842"/>
      <c r="J166" s="842"/>
      <c r="K166" s="842"/>
      <c r="L166" s="842"/>
    </row>
    <row r="167" spans="2:12" x14ac:dyDescent="0.25">
      <c r="B167" s="836"/>
      <c r="C167" s="836"/>
      <c r="D167" s="836"/>
      <c r="E167" s="304"/>
      <c r="F167" s="304"/>
      <c r="G167" s="304"/>
      <c r="H167" s="304"/>
      <c r="I167" s="304"/>
      <c r="J167" s="304"/>
      <c r="K167" s="304"/>
      <c r="L167" s="304"/>
    </row>
    <row r="168" spans="2:12" x14ac:dyDescent="0.25">
      <c r="B168" s="836"/>
      <c r="C168" s="836"/>
      <c r="D168" s="836"/>
      <c r="E168" s="304"/>
      <c r="F168" s="304"/>
      <c r="G168" s="304"/>
      <c r="H168" s="304"/>
      <c r="I168" s="304"/>
      <c r="J168" s="304"/>
      <c r="K168" s="304"/>
      <c r="L168" s="304"/>
    </row>
    <row r="169" spans="2:12" x14ac:dyDescent="0.25">
      <c r="B169" s="836"/>
      <c r="C169" s="836"/>
      <c r="D169" s="836"/>
      <c r="E169" s="305"/>
      <c r="F169" s="305"/>
      <c r="G169" s="305"/>
      <c r="H169" s="305"/>
      <c r="I169" s="305"/>
      <c r="J169" s="305"/>
      <c r="K169" s="305"/>
      <c r="L169" s="305"/>
    </row>
    <row r="170" spans="2:12" x14ac:dyDescent="0.25">
      <c r="B170" s="842"/>
      <c r="C170" s="842"/>
      <c r="D170" s="842"/>
      <c r="E170" s="842"/>
      <c r="F170" s="842"/>
      <c r="G170" s="842"/>
      <c r="H170" s="842"/>
      <c r="I170" s="842"/>
      <c r="J170" s="842"/>
      <c r="K170" s="842"/>
      <c r="L170" s="842"/>
    </row>
    <row r="171" spans="2:12" x14ac:dyDescent="0.25">
      <c r="B171" s="842"/>
      <c r="C171" s="842"/>
      <c r="D171" s="842"/>
      <c r="E171" s="842"/>
      <c r="F171" s="842"/>
      <c r="G171" s="842"/>
      <c r="H171" s="842"/>
      <c r="I171" s="842"/>
      <c r="J171" s="842"/>
      <c r="K171" s="842"/>
      <c r="L171" s="842"/>
    </row>
    <row r="172" spans="2:12" x14ac:dyDescent="0.25">
      <c r="B172" s="836"/>
      <c r="C172" s="836"/>
      <c r="D172" s="836"/>
      <c r="E172" s="304"/>
      <c r="F172" s="304"/>
      <c r="G172" s="304"/>
      <c r="H172" s="304"/>
      <c r="I172" s="304"/>
      <c r="J172" s="304"/>
      <c r="K172" s="304"/>
      <c r="L172" s="304"/>
    </row>
    <row r="173" spans="2:12" x14ac:dyDescent="0.25">
      <c r="B173" s="836"/>
      <c r="C173" s="836"/>
      <c r="D173" s="836"/>
      <c r="E173" s="304"/>
      <c r="F173" s="304"/>
      <c r="G173" s="304"/>
      <c r="H173" s="304"/>
      <c r="I173" s="304"/>
      <c r="J173" s="304"/>
      <c r="K173" s="304"/>
      <c r="L173" s="304"/>
    </row>
    <row r="174" spans="2:12" x14ac:dyDescent="0.25">
      <c r="B174" s="836"/>
      <c r="C174" s="836"/>
      <c r="D174" s="836"/>
      <c r="E174" s="305"/>
      <c r="F174" s="305"/>
      <c r="G174" s="305"/>
      <c r="H174" s="305"/>
      <c r="I174" s="305"/>
      <c r="J174" s="305"/>
      <c r="K174" s="305"/>
      <c r="L174" s="305"/>
    </row>
    <row r="175" spans="2:12" x14ac:dyDescent="0.25">
      <c r="B175" s="842"/>
      <c r="C175" s="842"/>
      <c r="D175" s="842"/>
      <c r="E175" s="842"/>
      <c r="F175" s="842"/>
      <c r="G175" s="842"/>
      <c r="H175" s="842"/>
      <c r="I175" s="842"/>
      <c r="J175" s="842"/>
      <c r="K175" s="842"/>
      <c r="L175" s="842"/>
    </row>
    <row r="176" spans="2:12" x14ac:dyDescent="0.25">
      <c r="B176" s="842"/>
      <c r="C176" s="842"/>
      <c r="D176" s="842"/>
      <c r="E176" s="842"/>
      <c r="F176" s="842"/>
      <c r="G176" s="842"/>
      <c r="H176" s="842"/>
      <c r="I176" s="842"/>
      <c r="J176" s="842"/>
      <c r="K176" s="842"/>
      <c r="L176" s="842"/>
    </row>
    <row r="177" spans="2:19" x14ac:dyDescent="0.25">
      <c r="B177" s="836"/>
      <c r="C177" s="836"/>
      <c r="D177" s="836"/>
      <c r="E177" s="304"/>
      <c r="F177" s="304"/>
      <c r="G177" s="304"/>
      <c r="H177" s="304"/>
      <c r="I177" s="304"/>
      <c r="J177" s="304"/>
      <c r="K177" s="304"/>
      <c r="L177" s="304"/>
    </row>
    <row r="178" spans="2:19" x14ac:dyDescent="0.25">
      <c r="B178" s="836"/>
      <c r="C178" s="836"/>
      <c r="D178" s="836"/>
      <c r="E178" s="304"/>
      <c r="F178" s="304"/>
      <c r="G178" s="304"/>
      <c r="H178" s="304"/>
      <c r="I178" s="304"/>
      <c r="J178" s="304"/>
      <c r="K178" s="304"/>
      <c r="L178" s="304"/>
    </row>
    <row r="179" spans="2:19" x14ac:dyDescent="0.25">
      <c r="B179" s="836"/>
      <c r="C179" s="836"/>
      <c r="D179" s="836"/>
      <c r="E179" s="305"/>
      <c r="F179" s="305"/>
      <c r="G179" s="305"/>
      <c r="H179" s="305"/>
      <c r="I179" s="305"/>
      <c r="J179" s="305"/>
      <c r="K179" s="305"/>
      <c r="L179" s="305"/>
    </row>
    <row r="180" spans="2:19" x14ac:dyDescent="0.25">
      <c r="B180" s="842"/>
      <c r="C180" s="842"/>
      <c r="D180" s="842"/>
      <c r="E180" s="842"/>
      <c r="F180" s="842"/>
      <c r="G180" s="842"/>
      <c r="H180" s="842"/>
      <c r="I180" s="842"/>
      <c r="J180" s="842"/>
      <c r="K180" s="842"/>
      <c r="L180" s="842"/>
    </row>
    <row r="181" spans="2:19" x14ac:dyDescent="0.25">
      <c r="B181" s="842"/>
      <c r="C181" s="842"/>
      <c r="D181" s="842"/>
      <c r="E181" s="842"/>
      <c r="F181" s="842"/>
      <c r="G181" s="842"/>
      <c r="H181" s="842"/>
      <c r="I181" s="842"/>
      <c r="J181" s="842"/>
      <c r="K181" s="842"/>
      <c r="L181" s="842"/>
    </row>
    <row r="182" spans="2:19" x14ac:dyDescent="0.25">
      <c r="B182" s="836"/>
      <c r="C182" s="836"/>
      <c r="D182" s="836"/>
      <c r="E182" s="304"/>
      <c r="F182" s="304"/>
      <c r="G182" s="304"/>
      <c r="H182" s="304"/>
      <c r="I182" s="304"/>
      <c r="J182" s="304"/>
      <c r="K182" s="304"/>
      <c r="L182" s="304"/>
    </row>
    <row r="183" spans="2:19" x14ac:dyDescent="0.25">
      <c r="B183" s="836"/>
      <c r="C183" s="836"/>
      <c r="D183" s="836"/>
      <c r="E183" s="304"/>
      <c r="F183" s="304"/>
      <c r="G183" s="304"/>
      <c r="H183" s="304"/>
      <c r="I183" s="304"/>
      <c r="J183" s="304"/>
      <c r="K183" s="304"/>
      <c r="L183" s="304"/>
    </row>
    <row r="184" spans="2:19" x14ac:dyDescent="0.25">
      <c r="B184" s="836"/>
      <c r="C184" s="836"/>
      <c r="D184" s="836"/>
      <c r="E184" s="305"/>
      <c r="F184" s="305"/>
      <c r="G184" s="305"/>
      <c r="H184" s="305"/>
      <c r="I184" s="305"/>
      <c r="J184" s="305"/>
      <c r="K184" s="305"/>
      <c r="L184" s="305"/>
    </row>
    <row r="185" spans="2:19" x14ac:dyDescent="0.25">
      <c r="B185" s="842"/>
      <c r="C185" s="842"/>
      <c r="D185" s="842"/>
      <c r="E185" s="842"/>
      <c r="F185" s="842"/>
      <c r="G185" s="842"/>
      <c r="H185" s="842"/>
      <c r="I185" s="842"/>
      <c r="J185" s="842"/>
      <c r="K185" s="842"/>
      <c r="L185" s="842"/>
    </row>
    <row r="186" spans="2:19" x14ac:dyDescent="0.25">
      <c r="B186" s="842"/>
      <c r="C186" s="842"/>
      <c r="D186" s="842"/>
      <c r="E186" s="842"/>
      <c r="F186" s="842"/>
      <c r="G186" s="842"/>
      <c r="H186" s="842"/>
      <c r="I186" s="842"/>
      <c r="J186" s="842"/>
      <c r="K186" s="842"/>
      <c r="L186" s="842"/>
    </row>
    <row r="187" spans="2:19" x14ac:dyDescent="0.25">
      <c r="B187" s="836"/>
      <c r="C187" s="836"/>
      <c r="D187" s="836"/>
      <c r="E187" s="304"/>
      <c r="F187" s="304"/>
      <c r="G187" s="304"/>
      <c r="H187" s="304"/>
      <c r="I187" s="304"/>
      <c r="J187" s="304"/>
      <c r="K187" s="304"/>
      <c r="L187" s="304"/>
    </row>
    <row r="188" spans="2:19" x14ac:dyDescent="0.25">
      <c r="B188" s="836"/>
      <c r="C188" s="836"/>
      <c r="D188" s="836"/>
      <c r="E188" s="304"/>
      <c r="F188" s="304"/>
      <c r="G188" s="304"/>
      <c r="H188" s="304"/>
      <c r="I188" s="304"/>
      <c r="J188" s="304"/>
      <c r="K188" s="304"/>
      <c r="L188" s="304"/>
    </row>
    <row r="189" spans="2:19" x14ac:dyDescent="0.25">
      <c r="B189" s="836"/>
      <c r="C189" s="836"/>
      <c r="D189" s="836"/>
      <c r="E189" s="305"/>
      <c r="F189" s="305"/>
      <c r="G189" s="305"/>
      <c r="H189" s="305"/>
      <c r="I189" s="305"/>
      <c r="J189" s="305"/>
      <c r="K189" s="305"/>
      <c r="L189" s="305"/>
    </row>
    <row r="190" spans="2:19" x14ac:dyDescent="0.25">
      <c r="B190" s="267"/>
      <c r="C190" s="267"/>
      <c r="D190" s="267"/>
      <c r="E190" s="29"/>
      <c r="F190" s="29"/>
      <c r="G190" s="29"/>
      <c r="H190" s="29"/>
      <c r="I190" s="29"/>
      <c r="J190" s="29"/>
      <c r="K190" s="29"/>
      <c r="L190" s="29"/>
    </row>
    <row r="191" spans="2:19" x14ac:dyDescent="0.25">
      <c r="B191" s="727"/>
      <c r="C191" s="727"/>
      <c r="D191" s="727"/>
      <c r="E191" s="727"/>
      <c r="F191" s="727"/>
      <c r="G191" s="727"/>
      <c r="H191" s="727"/>
      <c r="I191" s="727"/>
      <c r="J191" s="727"/>
      <c r="K191" s="727"/>
      <c r="L191" s="727"/>
      <c r="S191" s="225"/>
    </row>
    <row r="192" spans="2:19" x14ac:dyDescent="0.25">
      <c r="B192" s="727"/>
      <c r="C192" s="727"/>
      <c r="D192" s="727"/>
      <c r="E192" s="727"/>
      <c r="F192" s="727"/>
      <c r="G192" s="727"/>
      <c r="H192" s="727"/>
      <c r="I192" s="727"/>
      <c r="J192" s="727"/>
      <c r="K192" s="727"/>
      <c r="L192" s="727"/>
      <c r="S192" s="225"/>
    </row>
    <row r="193" spans="1:19" x14ac:dyDescent="0.25">
      <c r="B193" s="267"/>
      <c r="C193" s="267"/>
      <c r="D193" s="267"/>
      <c r="E193" s="29"/>
      <c r="F193" s="29"/>
      <c r="G193" s="29"/>
      <c r="H193" s="29"/>
      <c r="I193" s="29"/>
      <c r="J193" s="29"/>
      <c r="K193" s="29"/>
      <c r="L193" s="29"/>
      <c r="S193" s="225"/>
    </row>
    <row r="194" spans="1:19" ht="14.1" customHeight="1" x14ac:dyDescent="0.25">
      <c r="B194" s="842"/>
      <c r="C194" s="842"/>
      <c r="D194" s="842"/>
      <c r="E194" s="842"/>
      <c r="F194" s="842"/>
      <c r="G194" s="303"/>
      <c r="H194" s="303"/>
      <c r="I194" s="303"/>
      <c r="J194" s="303"/>
      <c r="K194" s="225"/>
      <c r="L194" s="225"/>
      <c r="O194" s="275"/>
    </row>
    <row r="195" spans="1:19" ht="14.1" customHeight="1" x14ac:dyDescent="0.25">
      <c r="B195" s="845"/>
      <c r="C195" s="845"/>
      <c r="D195" s="845"/>
      <c r="E195" s="845"/>
      <c r="F195" s="845"/>
      <c r="G195" s="306"/>
      <c r="H195" s="306"/>
      <c r="I195" s="306"/>
      <c r="J195" s="306"/>
      <c r="K195" s="225"/>
      <c r="L195" s="225"/>
    </row>
    <row r="196" spans="1:19" ht="30" customHeight="1" x14ac:dyDescent="0.25">
      <c r="B196" s="847"/>
      <c r="C196" s="847"/>
      <c r="D196" s="847"/>
      <c r="E196" s="847"/>
      <c r="F196" s="847"/>
      <c r="G196" s="306"/>
      <c r="H196" s="306"/>
      <c r="I196" s="306"/>
      <c r="J196" s="306"/>
      <c r="K196" s="225"/>
      <c r="L196" s="225"/>
    </row>
    <row r="197" spans="1:19" ht="14.1" customHeight="1" x14ac:dyDescent="0.25">
      <c r="B197" s="847"/>
      <c r="C197" s="847"/>
      <c r="D197" s="847"/>
      <c r="E197" s="847"/>
      <c r="F197" s="847"/>
      <c r="G197" s="306"/>
      <c r="H197" s="306"/>
      <c r="I197" s="306"/>
      <c r="J197" s="306"/>
      <c r="K197" s="225"/>
      <c r="L197" s="225"/>
    </row>
    <row r="198" spans="1:19" x14ac:dyDescent="0.25">
      <c r="B198" s="842"/>
      <c r="C198" s="842"/>
      <c r="D198" s="842"/>
      <c r="E198" s="842"/>
      <c r="F198" s="842"/>
      <c r="G198" s="303"/>
      <c r="H198" s="303"/>
      <c r="I198" s="303"/>
      <c r="J198" s="303"/>
      <c r="K198" s="225"/>
      <c r="L198" s="225"/>
    </row>
    <row r="199" spans="1:19" ht="14.1" customHeight="1" x14ac:dyDescent="0.25">
      <c r="B199" s="845"/>
      <c r="C199" s="845"/>
      <c r="D199" s="845"/>
      <c r="E199" s="845"/>
      <c r="F199" s="845"/>
      <c r="G199" s="306"/>
      <c r="H199" s="306"/>
      <c r="I199" s="306"/>
      <c r="J199" s="306"/>
      <c r="K199" s="225"/>
      <c r="L199" s="225"/>
    </row>
    <row r="200" spans="1:19" ht="30" customHeight="1" x14ac:dyDescent="0.25">
      <c r="B200" s="847"/>
      <c r="C200" s="847"/>
      <c r="D200" s="847"/>
      <c r="E200" s="847"/>
      <c r="F200" s="847"/>
      <c r="G200" s="306"/>
      <c r="H200" s="306"/>
      <c r="I200" s="306"/>
      <c r="J200" s="306"/>
      <c r="K200" s="225"/>
      <c r="L200" s="225"/>
    </row>
    <row r="201" spans="1:19" ht="14.1" customHeight="1" x14ac:dyDescent="0.25">
      <c r="B201" s="847"/>
      <c r="C201" s="847"/>
      <c r="D201" s="847"/>
      <c r="E201" s="847"/>
      <c r="F201" s="847"/>
      <c r="G201" s="306"/>
      <c r="H201" s="306"/>
      <c r="I201" s="306"/>
      <c r="J201" s="306"/>
      <c r="K201" s="225"/>
      <c r="L201" s="225"/>
    </row>
    <row r="203" spans="1:19" s="280" customFormat="1" x14ac:dyDescent="0.25">
      <c r="A203" s="307"/>
      <c r="B203" s="279"/>
      <c r="C203" s="279"/>
      <c r="N203" s="308"/>
    </row>
    <row r="204" spans="1:19" x14ac:dyDescent="0.25">
      <c r="B204" s="832"/>
      <c r="C204" s="832"/>
      <c r="D204" s="832"/>
      <c r="E204" s="832"/>
      <c r="F204" s="832"/>
      <c r="G204" s="832"/>
      <c r="H204" s="832"/>
      <c r="I204" s="832"/>
      <c r="J204" s="832"/>
      <c r="K204" s="832"/>
      <c r="L204" s="832"/>
      <c r="O204" s="292"/>
      <c r="P204" s="292"/>
    </row>
    <row r="205" spans="1:19" s="284" customFormat="1" x14ac:dyDescent="0.25">
      <c r="A205" s="282"/>
      <c r="B205" s="833"/>
      <c r="C205" s="833"/>
      <c r="D205" s="833"/>
      <c r="E205" s="833"/>
      <c r="F205" s="833"/>
      <c r="G205" s="833"/>
      <c r="H205" s="833"/>
      <c r="I205" s="833"/>
      <c r="J205" s="833"/>
      <c r="K205" s="833"/>
      <c r="L205" s="833"/>
      <c r="M205" s="302"/>
      <c r="O205" s="274"/>
    </row>
    <row r="206" spans="1:19" x14ac:dyDescent="0.25">
      <c r="B206" s="271"/>
      <c r="C206" s="271"/>
      <c r="D206" s="271"/>
      <c r="E206" s="272"/>
      <c r="F206" s="272"/>
      <c r="G206" s="272"/>
      <c r="H206" s="272"/>
      <c r="I206" s="272"/>
      <c r="J206" s="272"/>
      <c r="K206" s="272"/>
      <c r="L206" s="272"/>
    </row>
    <row r="207" spans="1:19" x14ac:dyDescent="0.25">
      <c r="B207" s="717"/>
      <c r="C207" s="717"/>
      <c r="D207" s="717"/>
      <c r="E207" s="717"/>
      <c r="F207" s="717"/>
      <c r="G207" s="717"/>
      <c r="H207" s="717"/>
      <c r="I207" s="717"/>
      <c r="J207" s="717"/>
      <c r="K207" s="717"/>
      <c r="L207" s="717"/>
      <c r="O207" s="275"/>
    </row>
    <row r="208" spans="1:19" x14ac:dyDescent="0.25">
      <c r="B208" s="267"/>
      <c r="C208" s="267"/>
      <c r="D208" s="271"/>
      <c r="E208" s="272"/>
      <c r="F208" s="272"/>
      <c r="G208" s="272"/>
      <c r="H208" s="272"/>
      <c r="I208" s="272"/>
      <c r="J208" s="272"/>
      <c r="K208" s="272"/>
      <c r="L208" s="272"/>
      <c r="O208" s="275"/>
    </row>
    <row r="209" spans="1:19" ht="30" customHeight="1" x14ac:dyDescent="0.25">
      <c r="B209" s="274"/>
      <c r="C209" s="274"/>
      <c r="D209" s="271"/>
      <c r="E209" s="274"/>
      <c r="F209" s="848"/>
      <c r="G209" s="848"/>
      <c r="H209" s="225"/>
      <c r="I209" s="225"/>
      <c r="J209" s="225"/>
      <c r="K209" s="225"/>
      <c r="L209" s="225"/>
      <c r="O209" s="275"/>
      <c r="P209" s="275"/>
    </row>
    <row r="210" spans="1:19" x14ac:dyDescent="0.25">
      <c r="B210" s="727"/>
      <c r="C210" s="836"/>
      <c r="D210" s="836"/>
      <c r="E210" s="836"/>
      <c r="F210" s="849"/>
      <c r="G210" s="849"/>
      <c r="H210" s="225"/>
      <c r="I210" s="225"/>
      <c r="J210" s="225"/>
      <c r="K210" s="225"/>
      <c r="L210" s="225"/>
    </row>
    <row r="211" spans="1:19" x14ac:dyDescent="0.25">
      <c r="B211" s="727"/>
      <c r="C211" s="836"/>
      <c r="D211" s="836"/>
      <c r="E211" s="836"/>
      <c r="F211" s="849"/>
      <c r="G211" s="849"/>
      <c r="H211" s="225"/>
      <c r="I211" s="225"/>
      <c r="J211" s="225"/>
      <c r="K211" s="225"/>
      <c r="L211" s="225"/>
    </row>
    <row r="212" spans="1:19" x14ac:dyDescent="0.25">
      <c r="B212" s="727"/>
      <c r="C212" s="836"/>
      <c r="D212" s="836"/>
      <c r="E212" s="836"/>
      <c r="F212" s="852"/>
      <c r="G212" s="852"/>
      <c r="H212" s="225"/>
      <c r="I212" s="225"/>
      <c r="J212" s="225"/>
      <c r="K212" s="225"/>
      <c r="L212" s="225"/>
    </row>
    <row r="213" spans="1:19" x14ac:dyDescent="0.25">
      <c r="B213" s="267"/>
      <c r="C213" s="267"/>
      <c r="D213" s="267"/>
      <c r="E213" s="29"/>
      <c r="F213" s="29"/>
      <c r="G213" s="29"/>
      <c r="H213" s="29"/>
      <c r="I213" s="29"/>
      <c r="J213" s="29"/>
      <c r="K213" s="29"/>
      <c r="L213" s="29"/>
    </row>
    <row r="214" spans="1:19" s="280" customFormat="1" x14ac:dyDescent="0.25">
      <c r="A214" s="307"/>
      <c r="B214" s="279"/>
      <c r="C214" s="279"/>
      <c r="N214" s="308"/>
    </row>
    <row r="215" spans="1:19" x14ac:dyDescent="0.25">
      <c r="B215" s="832"/>
      <c r="C215" s="832"/>
      <c r="D215" s="832"/>
      <c r="E215" s="832"/>
      <c r="F215" s="832"/>
      <c r="G215" s="832"/>
      <c r="H215" s="832"/>
      <c r="I215" s="832"/>
      <c r="J215" s="832"/>
      <c r="K215" s="832"/>
      <c r="L215" s="832"/>
      <c r="O215" s="292"/>
      <c r="P215" s="292"/>
    </row>
    <row r="216" spans="1:19" s="284" customFormat="1" x14ac:dyDescent="0.25">
      <c r="A216" s="282"/>
      <c r="B216" s="833"/>
      <c r="C216" s="833"/>
      <c r="D216" s="833"/>
      <c r="E216" s="833"/>
      <c r="F216" s="833"/>
      <c r="G216" s="833"/>
      <c r="H216" s="833"/>
      <c r="I216" s="833"/>
      <c r="J216" s="833"/>
      <c r="K216" s="833"/>
      <c r="L216" s="833"/>
      <c r="M216" s="302"/>
      <c r="O216" s="274"/>
    </row>
    <row r="217" spans="1:19" x14ac:dyDescent="0.25">
      <c r="B217" s="271"/>
      <c r="C217" s="271"/>
      <c r="D217" s="271"/>
      <c r="E217" s="272"/>
      <c r="F217" s="272"/>
      <c r="G217" s="272"/>
      <c r="H217" s="272"/>
      <c r="I217" s="272"/>
      <c r="J217" s="272"/>
      <c r="K217" s="272"/>
      <c r="L217" s="272"/>
    </row>
    <row r="218" spans="1:19" x14ac:dyDescent="0.25">
      <c r="B218" s="717"/>
      <c r="C218" s="717"/>
      <c r="D218" s="717"/>
      <c r="E218" s="717"/>
      <c r="F218" s="717"/>
      <c r="G218" s="717"/>
      <c r="H218" s="717"/>
      <c r="I218" s="717"/>
      <c r="J218" s="717"/>
      <c r="K218" s="717"/>
      <c r="L218" s="717"/>
      <c r="O218" s="275"/>
    </row>
    <row r="219" spans="1:19" x14ac:dyDescent="0.25">
      <c r="B219" s="267"/>
      <c r="C219" s="267"/>
      <c r="D219" s="271"/>
      <c r="E219" s="272"/>
      <c r="F219" s="272"/>
      <c r="G219" s="272"/>
      <c r="H219" s="272"/>
      <c r="I219" s="272"/>
      <c r="J219" s="272"/>
      <c r="K219" s="272"/>
      <c r="L219" s="272"/>
      <c r="O219" s="275"/>
    </row>
    <row r="220" spans="1:19" x14ac:dyDescent="0.25">
      <c r="B220" s="267"/>
      <c r="C220" s="267"/>
      <c r="D220" s="271"/>
      <c r="E220" s="294"/>
      <c r="F220" s="294"/>
      <c r="G220" s="294"/>
      <c r="H220" s="294"/>
      <c r="I220" s="294"/>
      <c r="J220" s="294"/>
      <c r="K220" s="225"/>
      <c r="L220" s="272"/>
      <c r="O220" s="275"/>
    </row>
    <row r="221" spans="1:19" x14ac:dyDescent="0.25">
      <c r="B221" s="851"/>
      <c r="C221" s="851"/>
      <c r="D221" s="309"/>
      <c r="E221" s="310"/>
      <c r="F221" s="310"/>
      <c r="G221" s="310"/>
      <c r="H221" s="310"/>
      <c r="I221" s="310"/>
      <c r="J221" s="310"/>
      <c r="K221" s="225"/>
      <c r="L221" s="225"/>
    </row>
    <row r="222" spans="1:19" x14ac:dyDescent="0.25">
      <c r="B222" s="851"/>
      <c r="C222" s="851"/>
      <c r="D222" s="309"/>
      <c r="E222" s="310"/>
      <c r="F222" s="310"/>
      <c r="G222" s="310"/>
      <c r="H222" s="310"/>
      <c r="I222" s="310"/>
      <c r="J222" s="310"/>
      <c r="K222" s="225"/>
      <c r="L222" s="225"/>
    </row>
    <row r="223" spans="1:19" x14ac:dyDescent="0.25">
      <c r="B223" s="267"/>
      <c r="C223" s="267"/>
      <c r="D223" s="267"/>
      <c r="E223" s="29"/>
      <c r="F223" s="29"/>
      <c r="G223" s="29"/>
      <c r="H223" s="29"/>
      <c r="I223" s="29"/>
      <c r="J223" s="29"/>
      <c r="K223" s="29"/>
      <c r="L223" s="29"/>
    </row>
    <row r="224" spans="1:19" x14ac:dyDescent="0.25">
      <c r="B224" s="727"/>
      <c r="C224" s="727"/>
      <c r="D224" s="727"/>
      <c r="E224" s="727"/>
      <c r="F224" s="727"/>
      <c r="G224" s="727"/>
      <c r="H224" s="727"/>
      <c r="I224" s="727"/>
      <c r="J224" s="727"/>
      <c r="K224" s="727"/>
      <c r="L224" s="727"/>
      <c r="S224" s="225"/>
    </row>
    <row r="225" spans="1:19" x14ac:dyDescent="0.25">
      <c r="B225" s="727"/>
      <c r="C225" s="727"/>
      <c r="D225" s="727"/>
      <c r="E225" s="727"/>
      <c r="F225" s="727"/>
      <c r="G225" s="727"/>
      <c r="H225" s="727"/>
      <c r="I225" s="727"/>
      <c r="J225" s="727"/>
      <c r="K225" s="727"/>
      <c r="L225" s="727"/>
      <c r="S225" s="225"/>
    </row>
    <row r="226" spans="1:19" x14ac:dyDescent="0.25">
      <c r="B226" s="265"/>
      <c r="C226" s="265"/>
      <c r="D226" s="265"/>
      <c r="E226" s="265"/>
      <c r="F226" s="265"/>
      <c r="G226" s="265"/>
      <c r="H226" s="265"/>
      <c r="I226" s="265"/>
      <c r="J226" s="265"/>
      <c r="K226" s="265"/>
      <c r="L226" s="265"/>
      <c r="S226" s="225"/>
    </row>
    <row r="227" spans="1:19" x14ac:dyDescent="0.25">
      <c r="C227" s="275"/>
      <c r="D227" s="276"/>
      <c r="E227" s="274"/>
      <c r="F227" s="303"/>
      <c r="G227" s="303"/>
      <c r="I227" s="225"/>
      <c r="J227" s="225"/>
      <c r="K227" s="225"/>
      <c r="O227" s="275"/>
    </row>
    <row r="228" spans="1:19" ht="14.45" customHeight="1" x14ac:dyDescent="0.25">
      <c r="C228" s="278"/>
      <c r="D228" s="796"/>
      <c r="E228" s="796"/>
      <c r="F228" s="306"/>
      <c r="G228" s="306"/>
      <c r="I228" s="225"/>
      <c r="J228" s="225"/>
      <c r="K228" s="225"/>
    </row>
    <row r="229" spans="1:19" s="280" customFormat="1" x14ac:dyDescent="0.25">
      <c r="A229" s="307"/>
      <c r="B229" s="279"/>
      <c r="C229" s="279"/>
      <c r="N229" s="308"/>
    </row>
    <row r="230" spans="1:19" s="284" customFormat="1" x14ac:dyDescent="0.25">
      <c r="A230" s="282"/>
      <c r="B230" s="271"/>
      <c r="C230" s="271"/>
      <c r="D230" s="271"/>
      <c r="E230" s="272"/>
      <c r="F230" s="272"/>
      <c r="G230" s="272"/>
      <c r="H230" s="272"/>
      <c r="I230" s="272"/>
      <c r="J230" s="272"/>
      <c r="K230" s="272"/>
      <c r="L230" s="272"/>
      <c r="M230" s="302"/>
    </row>
    <row r="231" spans="1:19" s="225" customFormat="1" x14ac:dyDescent="0.25">
      <c r="A231" s="311"/>
      <c r="B231" s="281"/>
      <c r="C231" s="281"/>
      <c r="D231" s="281"/>
      <c r="E231" s="281"/>
      <c r="F231" s="281"/>
      <c r="G231" s="281"/>
      <c r="H231" s="281"/>
      <c r="I231" s="281"/>
      <c r="J231" s="281"/>
      <c r="K231" s="281"/>
      <c r="L231" s="281"/>
      <c r="O231" s="274"/>
      <c r="P231" s="274"/>
      <c r="Q231" s="274"/>
      <c r="R231" s="274"/>
    </row>
    <row r="232" spans="1:19" s="225" customFormat="1" x14ac:dyDescent="0.25">
      <c r="A232" s="311"/>
      <c r="B232" s="727"/>
      <c r="C232" s="727"/>
      <c r="D232" s="727"/>
      <c r="E232" s="727"/>
      <c r="F232" s="727"/>
      <c r="G232" s="727"/>
      <c r="H232" s="727"/>
      <c r="I232" s="727"/>
      <c r="J232" s="727"/>
      <c r="K232" s="727"/>
      <c r="L232" s="727"/>
      <c r="O232" s="274"/>
      <c r="P232" s="274"/>
      <c r="Q232" s="274"/>
      <c r="R232" s="274"/>
    </row>
    <row r="233" spans="1:19" s="225" customFormat="1" x14ac:dyDescent="0.25">
      <c r="A233" s="311"/>
      <c r="B233" s="727"/>
      <c r="C233" s="727"/>
      <c r="D233" s="727"/>
      <c r="E233" s="727"/>
      <c r="F233" s="727"/>
      <c r="G233" s="727"/>
      <c r="H233" s="727"/>
      <c r="I233" s="727"/>
      <c r="J233" s="727"/>
      <c r="K233" s="727"/>
      <c r="L233" s="727"/>
      <c r="O233" s="274"/>
      <c r="P233" s="274"/>
      <c r="Q233" s="274"/>
      <c r="R233" s="274"/>
    </row>
    <row r="234" spans="1:19" s="225" customFormat="1" x14ac:dyDescent="0.25">
      <c r="A234" s="311"/>
      <c r="B234" s="281"/>
      <c r="C234" s="281"/>
      <c r="D234" s="281"/>
      <c r="E234" s="281"/>
      <c r="F234" s="281"/>
      <c r="G234" s="281"/>
      <c r="H234" s="281"/>
      <c r="I234" s="281"/>
      <c r="J234" s="281"/>
      <c r="K234" s="281"/>
      <c r="L234" s="281"/>
      <c r="O234" s="274"/>
      <c r="P234" s="274"/>
      <c r="Q234" s="274"/>
      <c r="R234" s="274"/>
    </row>
    <row r="235" spans="1:19" s="284" customFormat="1" x14ac:dyDescent="0.25">
      <c r="A235" s="282"/>
      <c r="B235" s="850"/>
      <c r="C235" s="850"/>
      <c r="D235" s="850"/>
      <c r="E235" s="850"/>
      <c r="F235" s="850"/>
      <c r="G235" s="850"/>
      <c r="H235" s="850"/>
      <c r="I235" s="850"/>
      <c r="J235" s="850"/>
      <c r="K235" s="850"/>
      <c r="L235" s="850"/>
      <c r="M235" s="225"/>
    </row>
    <row r="236" spans="1:19" s="284" customFormat="1" x14ac:dyDescent="0.25">
      <c r="A236" s="282"/>
      <c r="B236" s="850"/>
      <c r="C236" s="850"/>
      <c r="D236" s="850"/>
      <c r="E236" s="850"/>
      <c r="F236" s="850"/>
      <c r="G236" s="850"/>
      <c r="H236" s="850"/>
      <c r="I236" s="850"/>
      <c r="J236" s="850"/>
      <c r="K236" s="850"/>
      <c r="L236" s="850"/>
      <c r="M236" s="225"/>
    </row>
    <row r="237" spans="1:19" s="284" customFormat="1" x14ac:dyDescent="0.25">
      <c r="A237" s="282"/>
      <c r="B237" s="850"/>
      <c r="C237" s="850"/>
      <c r="D237" s="850"/>
      <c r="E237" s="850"/>
      <c r="F237" s="850"/>
      <c r="G237" s="850"/>
      <c r="H237" s="850"/>
      <c r="I237" s="850"/>
      <c r="J237" s="850"/>
      <c r="K237" s="850"/>
      <c r="L237" s="850"/>
      <c r="M237" s="225"/>
    </row>
    <row r="238" spans="1:19" s="284" customFormat="1" x14ac:dyDescent="0.25">
      <c r="A238" s="282"/>
      <c r="B238" s="850"/>
      <c r="C238" s="850"/>
      <c r="D238" s="850"/>
      <c r="E238" s="850"/>
      <c r="F238" s="850"/>
      <c r="G238" s="850"/>
      <c r="H238" s="850"/>
      <c r="I238" s="850"/>
      <c r="J238" s="850"/>
      <c r="K238" s="850"/>
      <c r="L238" s="850"/>
      <c r="M238" s="225"/>
    </row>
    <row r="239" spans="1:19" s="284" customFormat="1" x14ac:dyDescent="0.25">
      <c r="A239" s="282"/>
      <c r="B239" s="850"/>
      <c r="C239" s="850"/>
      <c r="D239" s="850"/>
      <c r="E239" s="850"/>
      <c r="F239" s="850"/>
      <c r="G239" s="850"/>
      <c r="H239" s="850"/>
      <c r="I239" s="850"/>
      <c r="J239" s="850"/>
      <c r="K239" s="850"/>
      <c r="L239" s="850"/>
      <c r="M239" s="225"/>
    </row>
    <row r="240" spans="1:19" s="284" customFormat="1" x14ac:dyDescent="0.25">
      <c r="A240" s="282"/>
      <c r="B240" s="850"/>
      <c r="C240" s="850"/>
      <c r="D240" s="850"/>
      <c r="E240" s="850"/>
      <c r="F240" s="850"/>
      <c r="G240" s="850"/>
      <c r="H240" s="850"/>
      <c r="I240" s="850"/>
      <c r="J240" s="850"/>
      <c r="K240" s="850"/>
      <c r="L240" s="850"/>
      <c r="M240" s="225"/>
    </row>
    <row r="241" spans="1:18" s="284" customFormat="1" x14ac:dyDescent="0.25">
      <c r="A241" s="282"/>
      <c r="B241" s="850"/>
      <c r="C241" s="850"/>
      <c r="D241" s="850"/>
      <c r="E241" s="850"/>
      <c r="F241" s="850"/>
      <c r="G241" s="850"/>
      <c r="H241" s="850"/>
      <c r="I241" s="850"/>
      <c r="J241" s="850"/>
      <c r="K241" s="850"/>
      <c r="L241" s="850"/>
      <c r="M241" s="225"/>
    </row>
    <row r="242" spans="1:18" s="284" customFormat="1" x14ac:dyDescent="0.25">
      <c r="A242" s="282"/>
      <c r="B242" s="850"/>
      <c r="C242" s="850"/>
      <c r="D242" s="850"/>
      <c r="E242" s="850"/>
      <c r="F242" s="850"/>
      <c r="G242" s="850"/>
      <c r="H242" s="850"/>
      <c r="I242" s="850"/>
      <c r="J242" s="850"/>
      <c r="K242" s="850"/>
      <c r="L242" s="850"/>
      <c r="M242" s="225"/>
    </row>
    <row r="243" spans="1:18" s="225" customFormat="1" x14ac:dyDescent="0.25">
      <c r="A243" s="311"/>
      <c r="B243" s="281"/>
      <c r="C243" s="281"/>
      <c r="D243" s="281"/>
      <c r="E243" s="281"/>
      <c r="F243" s="281"/>
      <c r="G243" s="281"/>
      <c r="H243" s="281"/>
      <c r="I243" s="281"/>
      <c r="J243" s="281"/>
      <c r="K243" s="281"/>
      <c r="L243" s="281"/>
      <c r="O243" s="274"/>
      <c r="P243" s="274"/>
      <c r="Q243" s="274"/>
      <c r="R243" s="274"/>
    </row>
  </sheetData>
  <sheetProtection algorithmName="SHA-512" hashValue="rM6yYzT0cm8Bitw9aT09HdpZUKu0AXxcgoT6kJrZd9AV11brkDCwRNY+psivhARXeHIxPiR9m49+Ef71j5kIvA==" saltValue="vHmfpLDdrn03H+38lQD5mQ==" spinCount="100000" sheet="1" objects="1" scenarios="1" selectLockedCells="1"/>
  <mergeCells count="184">
    <mergeCell ref="B235:L242"/>
    <mergeCell ref="B222:C222"/>
    <mergeCell ref="B224:L225"/>
    <mergeCell ref="D228:E228"/>
    <mergeCell ref="B232:L233"/>
    <mergeCell ref="C212:E212"/>
    <mergeCell ref="F212:G212"/>
    <mergeCell ref="B215:L215"/>
    <mergeCell ref="B216:L216"/>
    <mergeCell ref="B218:L218"/>
    <mergeCell ref="B221:C221"/>
    <mergeCell ref="B201:F201"/>
    <mergeCell ref="B204:L204"/>
    <mergeCell ref="B205:L205"/>
    <mergeCell ref="B207:L207"/>
    <mergeCell ref="F209:G209"/>
    <mergeCell ref="B210:B212"/>
    <mergeCell ref="C210:E210"/>
    <mergeCell ref="F210:G210"/>
    <mergeCell ref="C211:E211"/>
    <mergeCell ref="F211:G211"/>
    <mergeCell ref="B195:F195"/>
    <mergeCell ref="B196:F196"/>
    <mergeCell ref="B197:F197"/>
    <mergeCell ref="B198:F198"/>
    <mergeCell ref="B199:F199"/>
    <mergeCell ref="B200:F200"/>
    <mergeCell ref="B185:L186"/>
    <mergeCell ref="B187:D187"/>
    <mergeCell ref="B188:D188"/>
    <mergeCell ref="B189:D189"/>
    <mergeCell ref="B191:L192"/>
    <mergeCell ref="B194:F194"/>
    <mergeCell ref="B178:D178"/>
    <mergeCell ref="B179:D179"/>
    <mergeCell ref="B180:L181"/>
    <mergeCell ref="B182:D182"/>
    <mergeCell ref="B183:D183"/>
    <mergeCell ref="B184:D184"/>
    <mergeCell ref="B170:L171"/>
    <mergeCell ref="B172:D172"/>
    <mergeCell ref="B173:D173"/>
    <mergeCell ref="B174:D174"/>
    <mergeCell ref="B175:L176"/>
    <mergeCell ref="B177:D177"/>
    <mergeCell ref="B163:D163"/>
    <mergeCell ref="B164:D164"/>
    <mergeCell ref="B165:L166"/>
    <mergeCell ref="B167:D167"/>
    <mergeCell ref="B168:D168"/>
    <mergeCell ref="B169:D169"/>
    <mergeCell ref="B155:L156"/>
    <mergeCell ref="B157:D157"/>
    <mergeCell ref="B158:D158"/>
    <mergeCell ref="B159:D159"/>
    <mergeCell ref="B160:L161"/>
    <mergeCell ref="B162:D162"/>
    <mergeCell ref="B145:F145"/>
    <mergeCell ref="B148:L148"/>
    <mergeCell ref="B149:L149"/>
    <mergeCell ref="B151:L151"/>
    <mergeCell ref="B152:L152"/>
    <mergeCell ref="B154:D154"/>
    <mergeCell ref="B139:F139"/>
    <mergeCell ref="B140:F140"/>
    <mergeCell ref="B141:F141"/>
    <mergeCell ref="B142:F142"/>
    <mergeCell ref="B143:F143"/>
    <mergeCell ref="B144:F144"/>
    <mergeCell ref="B129:L130"/>
    <mergeCell ref="B131:D131"/>
    <mergeCell ref="B132:D132"/>
    <mergeCell ref="B133:D133"/>
    <mergeCell ref="B135:L136"/>
    <mergeCell ref="B138:F138"/>
    <mergeCell ref="B122:D122"/>
    <mergeCell ref="B123:D123"/>
    <mergeCell ref="B124:L125"/>
    <mergeCell ref="B126:D126"/>
    <mergeCell ref="B127:D127"/>
    <mergeCell ref="B128:D128"/>
    <mergeCell ref="B114:L115"/>
    <mergeCell ref="B116:D116"/>
    <mergeCell ref="B117:D117"/>
    <mergeCell ref="B118:D118"/>
    <mergeCell ref="B119:L120"/>
    <mergeCell ref="B121:D121"/>
    <mergeCell ref="B107:D107"/>
    <mergeCell ref="B108:D108"/>
    <mergeCell ref="B109:L110"/>
    <mergeCell ref="B111:D111"/>
    <mergeCell ref="B112:D112"/>
    <mergeCell ref="B113:D113"/>
    <mergeCell ref="B99:L100"/>
    <mergeCell ref="B101:D101"/>
    <mergeCell ref="B102:D102"/>
    <mergeCell ref="B103:D103"/>
    <mergeCell ref="B104:L105"/>
    <mergeCell ref="B106:D106"/>
    <mergeCell ref="B91:L91"/>
    <mergeCell ref="B93:D93"/>
    <mergeCell ref="B94:L95"/>
    <mergeCell ref="B96:D96"/>
    <mergeCell ref="B97:D97"/>
    <mergeCell ref="B98:D98"/>
    <mergeCell ref="B82:F82"/>
    <mergeCell ref="B83:F83"/>
    <mergeCell ref="B84:F84"/>
    <mergeCell ref="B85:F85"/>
    <mergeCell ref="B88:L88"/>
    <mergeCell ref="B89:L89"/>
    <mergeCell ref="B73:D73"/>
    <mergeCell ref="B75:L76"/>
    <mergeCell ref="B78:F78"/>
    <mergeCell ref="B79:F79"/>
    <mergeCell ref="B80:F80"/>
    <mergeCell ref="B81:F81"/>
    <mergeCell ref="B67:D67"/>
    <mergeCell ref="B68:D68"/>
    <mergeCell ref="B69:D69"/>
    <mergeCell ref="B70:L70"/>
    <mergeCell ref="B71:D71"/>
    <mergeCell ref="B72:D72"/>
    <mergeCell ref="B61:D61"/>
    <mergeCell ref="B62:L62"/>
    <mergeCell ref="B63:D63"/>
    <mergeCell ref="B64:D64"/>
    <mergeCell ref="B65:D65"/>
    <mergeCell ref="B66:L66"/>
    <mergeCell ref="B55:D55"/>
    <mergeCell ref="B56:D56"/>
    <mergeCell ref="B57:D57"/>
    <mergeCell ref="B58:L58"/>
    <mergeCell ref="B59:D59"/>
    <mergeCell ref="B60:D60"/>
    <mergeCell ref="B47:L47"/>
    <mergeCell ref="B48:L48"/>
    <mergeCell ref="B50:L50"/>
    <mergeCell ref="B51:L51"/>
    <mergeCell ref="B53:D53"/>
    <mergeCell ref="B54:L54"/>
    <mergeCell ref="B39:C41"/>
    <mergeCell ref="D39:F39"/>
    <mergeCell ref="D40:F40"/>
    <mergeCell ref="D41:F41"/>
    <mergeCell ref="B42:C44"/>
    <mergeCell ref="D42:F42"/>
    <mergeCell ref="D43:F43"/>
    <mergeCell ref="D44:F44"/>
    <mergeCell ref="B35:K35"/>
    <mergeCell ref="B36:C38"/>
    <mergeCell ref="D36:F36"/>
    <mergeCell ref="D37:F37"/>
    <mergeCell ref="D38:F38"/>
    <mergeCell ref="B28:K28"/>
    <mergeCell ref="B29:C31"/>
    <mergeCell ref="D29:F29"/>
    <mergeCell ref="D30:F30"/>
    <mergeCell ref="D31:F31"/>
    <mergeCell ref="B32:C34"/>
    <mergeCell ref="D32:F32"/>
    <mergeCell ref="D33:F33"/>
    <mergeCell ref="D34:F34"/>
    <mergeCell ref="B23:K23"/>
    <mergeCell ref="B24:C26"/>
    <mergeCell ref="D24:F24"/>
    <mergeCell ref="D25:F25"/>
    <mergeCell ref="D26:F26"/>
    <mergeCell ref="B27:K27"/>
    <mergeCell ref="B17:L17"/>
    <mergeCell ref="B18:L18"/>
    <mergeCell ref="B20:F20"/>
    <mergeCell ref="G20:K20"/>
    <mergeCell ref="B10:L10"/>
    <mergeCell ref="B11:L11"/>
    <mergeCell ref="B12:L12"/>
    <mergeCell ref="B13:L13"/>
    <mergeCell ref="B14:L14"/>
    <mergeCell ref="B15:L15"/>
    <mergeCell ref="B4:L4"/>
    <mergeCell ref="B5:L5"/>
    <mergeCell ref="B6:L6"/>
    <mergeCell ref="B8:L8"/>
    <mergeCell ref="B9:L9"/>
  </mergeCells>
  <conditionalFormatting sqref="F228:G228">
    <cfRule type="cellIs" dxfId="4" priority="1" operator="equal">
      <formula>"Error"</formula>
    </cfRule>
  </conditionalFormatting>
  <conditionalFormatting sqref="G79:J81 G83:J85">
    <cfRule type="cellIs" dxfId="3" priority="10" operator="equal">
      <formula>"Error"</formula>
    </cfRule>
  </conditionalFormatting>
  <conditionalFormatting sqref="G139:J141 G143:J145">
    <cfRule type="cellIs" dxfId="2" priority="9" operator="equal">
      <formula>"Error"</formula>
    </cfRule>
  </conditionalFormatting>
  <conditionalFormatting sqref="G195:J197">
    <cfRule type="cellIs" dxfId="1" priority="4" operator="equal">
      <formula>"Error"</formula>
    </cfRule>
  </conditionalFormatting>
  <conditionalFormatting sqref="G199:J201">
    <cfRule type="cellIs" dxfId="0" priority="2"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0" xr:uid="{E28E5213-669C-47AE-861A-B667CF8EDEA9}">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35:B237" xr:uid="{1501E8AF-9C18-4587-BEAB-C707145682DF}">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48 F212 E65:L65 E69:L69 E189:L189 E128:L128 E133:L133 E61:L61 E57:L57 E73:L73 E98:L98 E103:L103 E108:L108 E113:L113 E118:L118 E123:L123 G41:K44 E159:L159 E164:L164 E169:L169 E174:L174 E179:L179 E184:L184 G195:J197 G26:K26 G139:J141 G143:J145 G79:J81 G83:J85 G199:J201 G31:K31 G34:K34 G38:K38 F228:G228" xr:uid="{EEA3AFC2-7FEB-4F30-9D47-932B909D7302}">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19:L120 E221:J222 F210:G211 E187:L188 E182:L183 E177:L178 E172:L173 E167:L168 E162:L163 E157:L158 E131:L132 E126:L127 E121:L122 E116:L117 E111:L112 E106:L107 E101:L102 E96:L97 E71:L72 E67:L68 E63:L64 E59:L60 E55:L56 G32:K33 G29:K30 G24:K25 G39:K40 G36:K37" xr:uid="{73088B05-F4DF-4B72-9EC8-D1663A58CBEB}">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45" min="1" max="11" man="1"/>
    <brk id="86" min="1" max="11" man="1"/>
    <brk id="146" min="1" max="11" man="1"/>
    <brk id="202" min="1"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52"/>
  <sheetViews>
    <sheetView showGridLines="0" zoomScaleNormal="100" workbookViewId="0">
      <selection activeCell="O1" sqref="O1:P1048576"/>
    </sheetView>
  </sheetViews>
  <sheetFormatPr defaultColWidth="9.140625" defaultRowHeight="14.25" x14ac:dyDescent="0.25"/>
  <cols>
    <col min="1" max="1" width="1.85546875" style="8" customWidth="1"/>
    <col min="2" max="12" width="14.5703125" style="1" customWidth="1"/>
    <col min="13" max="13" width="6.140625" style="9" customWidth="1"/>
    <col min="14" max="14" width="9.140625" style="10" customWidth="1"/>
    <col min="15" max="16" width="30.5703125" style="10" hidden="1" customWidth="1"/>
    <col min="17" max="18" width="9.140625" style="10" customWidth="1"/>
    <col min="19" max="16384" width="9.140625" style="10"/>
  </cols>
  <sheetData>
    <row r="1" spans="1:16" x14ac:dyDescent="0.25">
      <c r="O1" s="10" t="s">
        <v>419</v>
      </c>
      <c r="P1" s="10" t="s">
        <v>419</v>
      </c>
    </row>
    <row r="2" spans="1:16" x14ac:dyDescent="0.25">
      <c r="B2" s="12" t="s">
        <v>66</v>
      </c>
      <c r="C2" s="12"/>
      <c r="D2" s="12"/>
      <c r="O2" s="161" t="s">
        <v>93</v>
      </c>
      <c r="P2" s="161" t="s">
        <v>109</v>
      </c>
    </row>
    <row r="3" spans="1:16" x14ac:dyDescent="0.25">
      <c r="B3" s="13"/>
      <c r="C3" s="13"/>
      <c r="D3" s="13"/>
      <c r="O3" s="2"/>
      <c r="P3" s="41"/>
    </row>
    <row r="4" spans="1:16" s="2" customFormat="1" x14ac:dyDescent="0.25">
      <c r="A4" s="4"/>
      <c r="B4" s="572" t="str">
        <f>IF(Intro!$G$20="English",O4,P4)</f>
        <v>QUESTIONNAIRE À L'INTENTION DES IMPORTATEURS</v>
      </c>
      <c r="C4" s="573"/>
      <c r="D4" s="573"/>
      <c r="E4" s="573"/>
      <c r="F4" s="573"/>
      <c r="G4" s="573"/>
      <c r="H4" s="573"/>
      <c r="I4" s="573"/>
      <c r="J4" s="573"/>
      <c r="K4" s="573"/>
      <c r="L4" s="574"/>
      <c r="M4" s="5"/>
      <c r="N4" s="5"/>
      <c r="O4" s="19" t="s">
        <v>309</v>
      </c>
      <c r="P4" s="105" t="s">
        <v>310</v>
      </c>
    </row>
    <row r="5" spans="1:16" s="2" customFormat="1" x14ac:dyDescent="0.25">
      <c r="A5" s="4"/>
      <c r="B5" s="575" t="str">
        <f>Intro!B5</f>
        <v>NQ-2026-001</v>
      </c>
      <c r="C5" s="576"/>
      <c r="D5" s="576"/>
      <c r="E5" s="576"/>
      <c r="F5" s="576"/>
      <c r="G5" s="576"/>
      <c r="H5" s="576"/>
      <c r="I5" s="576"/>
      <c r="J5" s="576"/>
      <c r="K5" s="576"/>
      <c r="L5" s="577"/>
      <c r="M5" s="5"/>
      <c r="N5" s="5"/>
      <c r="O5" s="19"/>
      <c r="P5" s="9"/>
    </row>
    <row r="6" spans="1:16" s="6" customFormat="1" x14ac:dyDescent="0.25">
      <c r="A6" s="4"/>
      <c r="B6" s="578" t="str">
        <f>UPPER(IF(Intro!$G$20="English",Variables!B3,Variables!C3))</f>
        <v>TUBAGES DE PUITS DE GAZ ET DE PÉTROLE</v>
      </c>
      <c r="C6" s="579"/>
      <c r="D6" s="579"/>
      <c r="E6" s="579"/>
      <c r="F6" s="579"/>
      <c r="G6" s="579"/>
      <c r="H6" s="579"/>
      <c r="I6" s="579"/>
      <c r="J6" s="579"/>
      <c r="K6" s="579"/>
      <c r="L6" s="580"/>
      <c r="M6" s="19"/>
      <c r="N6" s="19"/>
      <c r="O6" s="15"/>
      <c r="P6" s="27"/>
    </row>
    <row r="7" spans="1:16" s="6" customFormat="1" x14ac:dyDescent="0.25">
      <c r="A7" s="4"/>
      <c r="B7" s="14"/>
      <c r="C7" s="14"/>
      <c r="D7" s="14"/>
      <c r="E7" s="3"/>
      <c r="F7" s="3"/>
      <c r="G7" s="3"/>
      <c r="H7" s="3"/>
      <c r="I7" s="3"/>
      <c r="J7" s="3"/>
      <c r="K7" s="3"/>
      <c r="L7" s="3"/>
      <c r="O7" s="15"/>
      <c r="P7" s="27"/>
    </row>
    <row r="8" spans="1:16" s="2" customFormat="1" x14ac:dyDescent="0.25">
      <c r="A8" s="4"/>
      <c r="B8" s="536" t="str">
        <f>UPPER(IF(Intro!$G$20="English",O8,P8))</f>
        <v>APERÇU DU QUESTIONNAIRE</v>
      </c>
      <c r="C8" s="537"/>
      <c r="D8" s="537" t="str">
        <f>UPPER(IF(Intro!$G$20="English",P8,Q8))</f>
        <v/>
      </c>
      <c r="E8" s="537" t="str">
        <f>UPPER(IF(Intro!$G$20="English",Q8,R8))</f>
        <v/>
      </c>
      <c r="F8" s="537" t="str">
        <f>UPPER(IF(Intro!$G$20="English",R8,S8))</f>
        <v/>
      </c>
      <c r="G8" s="537" t="str">
        <f>UPPER(IF(Intro!$G$20="English",S8,T8))</f>
        <v/>
      </c>
      <c r="H8" s="537" t="str">
        <f>UPPER(IF(Intro!$G$20="English",T8,U8))</f>
        <v/>
      </c>
      <c r="I8" s="537" t="str">
        <f>UPPER(IF(Intro!$G$20="English",U8,V8))</f>
        <v/>
      </c>
      <c r="J8" s="537" t="str">
        <f>UPPER(IF(Intro!$G$20="English",V8,W8))</f>
        <v/>
      </c>
      <c r="K8" s="537" t="str">
        <f>UPPER(IF(Intro!$G$20="English",W8,X8))</f>
        <v/>
      </c>
      <c r="L8" s="538" t="str">
        <f>UPPER(IF(Intro!$G$20="English",X8,Y8))</f>
        <v/>
      </c>
      <c r="M8" s="6"/>
      <c r="N8" s="5"/>
      <c r="O8" s="106" t="s">
        <v>311</v>
      </c>
      <c r="P8" s="106" t="s">
        <v>312</v>
      </c>
    </row>
    <row r="9" spans="1:16" x14ac:dyDescent="0.25">
      <c r="B9" s="16"/>
      <c r="C9" s="35"/>
      <c r="D9" s="35"/>
      <c r="E9" s="36"/>
      <c r="F9" s="36"/>
      <c r="G9" s="36"/>
      <c r="H9" s="36"/>
      <c r="I9" s="36"/>
      <c r="J9" s="36"/>
      <c r="K9" s="36"/>
      <c r="L9" s="17"/>
      <c r="M9" s="10"/>
    </row>
    <row r="10" spans="1:16" s="38" customFormat="1" x14ac:dyDescent="0.25">
      <c r="A10" s="49"/>
      <c r="B10" s="530" t="str">
        <f>IF(Intro!$G$20="English",O10,P10)</f>
        <v xml:space="preserve">Le présent questionnaire est divisé en deux parties :
</v>
      </c>
      <c r="C10" s="531"/>
      <c r="D10" s="531"/>
      <c r="E10" s="531"/>
      <c r="F10" s="531"/>
      <c r="G10" s="531"/>
      <c r="H10" s="531"/>
      <c r="I10" s="531"/>
      <c r="J10" s="531"/>
      <c r="K10" s="531"/>
      <c r="L10" s="532"/>
      <c r="O10" s="10" t="s">
        <v>113</v>
      </c>
      <c r="P10" s="10" t="s">
        <v>114</v>
      </c>
    </row>
    <row r="11" spans="1:16" s="38" customFormat="1" x14ac:dyDescent="0.25">
      <c r="A11" s="49"/>
      <c r="B11" s="79"/>
      <c r="C11" s="80"/>
      <c r="D11" s="80"/>
      <c r="E11" s="80"/>
      <c r="F11" s="80"/>
      <c r="G11" s="80"/>
      <c r="H11" s="80"/>
      <c r="I11" s="80"/>
      <c r="J11" s="80"/>
      <c r="K11" s="80"/>
      <c r="L11" s="81"/>
      <c r="O11" s="10"/>
      <c r="P11" s="10"/>
    </row>
    <row r="12" spans="1:16" s="38" customFormat="1" x14ac:dyDescent="0.25">
      <c r="A12" s="49"/>
      <c r="B12" s="530" t="str">
        <f>IF(Intro!$G$20="English",O12,P12)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531"/>
      <c r="D12" s="531"/>
      <c r="E12" s="531"/>
      <c r="F12" s="531"/>
      <c r="G12" s="531"/>
      <c r="H12" s="531"/>
      <c r="I12" s="531"/>
      <c r="J12" s="531"/>
      <c r="K12" s="531"/>
      <c r="L12" s="532"/>
      <c r="O12" s="10" t="s">
        <v>115</v>
      </c>
      <c r="P12" s="10" t="s">
        <v>116</v>
      </c>
    </row>
    <row r="13" spans="1:16" s="38" customFormat="1" x14ac:dyDescent="0.25">
      <c r="A13" s="49"/>
      <c r="B13" s="530"/>
      <c r="C13" s="531"/>
      <c r="D13" s="531"/>
      <c r="E13" s="531"/>
      <c r="F13" s="531"/>
      <c r="G13" s="531"/>
      <c r="H13" s="531"/>
      <c r="I13" s="531"/>
      <c r="J13" s="531"/>
      <c r="K13" s="531"/>
      <c r="L13" s="532"/>
      <c r="O13" s="10"/>
      <c r="P13" s="10"/>
    </row>
    <row r="14" spans="1:16" s="38" customFormat="1" x14ac:dyDescent="0.25">
      <c r="A14" s="49"/>
      <c r="B14" s="79"/>
      <c r="C14" s="80"/>
      <c r="D14" s="80"/>
      <c r="E14" s="80"/>
      <c r="F14" s="80"/>
      <c r="G14" s="80"/>
      <c r="H14" s="80"/>
      <c r="I14" s="80"/>
      <c r="J14" s="80"/>
      <c r="K14" s="80"/>
      <c r="L14" s="81"/>
      <c r="O14" s="10"/>
      <c r="P14" s="10"/>
    </row>
    <row r="15" spans="1:16" s="38" customFormat="1" x14ac:dyDescent="0.25">
      <c r="A15" s="49"/>
      <c r="B15" s="530" t="str">
        <f>IF(Intro!$G$20="English",O15,P15)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531"/>
      <c r="D15" s="531"/>
      <c r="E15" s="531"/>
      <c r="F15" s="531"/>
      <c r="G15" s="531"/>
      <c r="H15" s="531"/>
      <c r="I15" s="531"/>
      <c r="J15" s="531"/>
      <c r="K15" s="531"/>
      <c r="L15" s="532"/>
      <c r="O15" s="10" t="s">
        <v>117</v>
      </c>
      <c r="P15" s="10" t="s">
        <v>118</v>
      </c>
    </row>
    <row r="16" spans="1:16" s="38" customFormat="1" x14ac:dyDescent="0.25">
      <c r="A16" s="49"/>
      <c r="B16" s="530"/>
      <c r="C16" s="531"/>
      <c r="D16" s="531"/>
      <c r="E16" s="531"/>
      <c r="F16" s="531"/>
      <c r="G16" s="531"/>
      <c r="H16" s="531"/>
      <c r="I16" s="531"/>
      <c r="J16" s="531"/>
      <c r="K16" s="531"/>
      <c r="L16" s="532"/>
      <c r="O16" s="10"/>
      <c r="P16" s="10"/>
    </row>
    <row r="17" spans="1:16" s="38" customFormat="1" x14ac:dyDescent="0.25">
      <c r="A17" s="49"/>
      <c r="B17" s="50"/>
      <c r="C17" s="51"/>
      <c r="D17" s="51"/>
      <c r="E17" s="51"/>
      <c r="F17" s="51"/>
      <c r="G17" s="51"/>
      <c r="H17" s="51"/>
      <c r="I17" s="51"/>
      <c r="J17" s="51"/>
      <c r="K17" s="51"/>
      <c r="L17" s="52"/>
      <c r="O17" s="10"/>
      <c r="P17" s="10"/>
    </row>
    <row r="18" spans="1:16" s="6" customFormat="1" x14ac:dyDescent="0.25">
      <c r="A18" s="4"/>
      <c r="B18" s="14"/>
      <c r="C18" s="14"/>
      <c r="D18" s="14"/>
      <c r="E18" s="3"/>
      <c r="F18" s="3"/>
      <c r="G18" s="3"/>
      <c r="H18" s="3"/>
      <c r="I18" s="3"/>
      <c r="J18" s="3"/>
      <c r="K18" s="3"/>
      <c r="L18" s="3"/>
      <c r="O18" s="15"/>
      <c r="P18" s="27"/>
    </row>
    <row r="19" spans="1:16" s="2" customFormat="1" x14ac:dyDescent="0.25">
      <c r="A19" s="4"/>
      <c r="B19" s="536" t="str">
        <f>UPPER(IF(Intro!$G$20="English",O19,P19))</f>
        <v>RENSEIGNEMENTS ADDITIONNELS SUR LE PRODUIT</v>
      </c>
      <c r="C19" s="537"/>
      <c r="D19" s="537" t="str">
        <f>UPPER(IF(Intro!$G$20="English",P19,Q19))</f>
        <v/>
      </c>
      <c r="E19" s="537" t="str">
        <f>UPPER(IF(Intro!$G$20="English",Q19,R19))</f>
        <v/>
      </c>
      <c r="F19" s="537" t="str">
        <f>UPPER(IF(Intro!$G$20="English",R19,S19))</f>
        <v/>
      </c>
      <c r="G19" s="537" t="str">
        <f>UPPER(IF(Intro!$G$20="English",S19,T19))</f>
        <v/>
      </c>
      <c r="H19" s="537" t="str">
        <f>UPPER(IF(Intro!$G$20="English",T19,U19))</f>
        <v/>
      </c>
      <c r="I19" s="537" t="str">
        <f>UPPER(IF(Intro!$G$20="English",U19,V19))</f>
        <v/>
      </c>
      <c r="J19" s="537" t="str">
        <f>UPPER(IF(Intro!$G$20="English",V19,W19))</f>
        <v/>
      </c>
      <c r="K19" s="537" t="str">
        <f>UPPER(IF(Intro!$G$20="English",W19,X19))</f>
        <v/>
      </c>
      <c r="L19" s="538" t="str">
        <f>UPPER(IF(Intro!$G$20="English",X19,Y19))</f>
        <v/>
      </c>
      <c r="M19" s="6"/>
      <c r="N19" s="5"/>
      <c r="O19" s="107" t="s">
        <v>313</v>
      </c>
      <c r="P19" s="107" t="s">
        <v>314</v>
      </c>
    </row>
    <row r="20" spans="1:16" x14ac:dyDescent="0.25">
      <c r="B20" s="16"/>
      <c r="C20" s="35"/>
      <c r="D20" s="35"/>
      <c r="E20" s="36"/>
      <c r="F20" s="36"/>
      <c r="G20" s="36"/>
      <c r="H20" s="36"/>
      <c r="I20" s="36"/>
      <c r="J20" s="36"/>
      <c r="K20" s="36"/>
      <c r="L20" s="17"/>
      <c r="M20" s="10"/>
    </row>
    <row r="21" spans="1:16" x14ac:dyDescent="0.25">
      <c r="B21" s="530" t="str">
        <f>IF(Intro!$G$20="English",O21,P21)</f>
        <v>Les marchandises suivantes sont exclues:</v>
      </c>
      <c r="C21" s="531"/>
      <c r="D21" s="531"/>
      <c r="E21" s="531"/>
      <c r="F21" s="531"/>
      <c r="G21" s="531"/>
      <c r="H21" s="531"/>
      <c r="I21" s="531"/>
      <c r="J21" s="531"/>
      <c r="K21" s="531"/>
      <c r="L21" s="532"/>
      <c r="M21" s="10"/>
      <c r="O21" s="10" t="s">
        <v>513</v>
      </c>
      <c r="P21" s="10" t="s">
        <v>521</v>
      </c>
    </row>
    <row r="22" spans="1:16" ht="100.5" customHeight="1" x14ac:dyDescent="0.25">
      <c r="B22" s="530" t="str">
        <f>IF(Intro!$G$20="English",O22,P22)</f>
        <v>• tige de forage;
• fractions de tube;
• raccords non fixés;
• tuyau de raccordement;
• tubulure isolée et tubulure isolée par vide; et
• tubage de puits en acier inoxydable contenant 10,5 % ou plus par poids de chrome.</v>
      </c>
      <c r="C22" s="531"/>
      <c r="D22" s="531"/>
      <c r="E22" s="531"/>
      <c r="F22" s="531"/>
      <c r="G22" s="531"/>
      <c r="H22" s="531"/>
      <c r="I22" s="531"/>
      <c r="J22" s="531"/>
      <c r="K22" s="531"/>
      <c r="L22" s="532"/>
      <c r="M22" s="10"/>
      <c r="O22" s="201" t="s">
        <v>488</v>
      </c>
      <c r="P22" s="201" t="s">
        <v>489</v>
      </c>
    </row>
    <row r="23" spans="1:16" x14ac:dyDescent="0.25">
      <c r="B23" s="530"/>
      <c r="C23" s="531"/>
      <c r="D23" s="531"/>
      <c r="E23" s="531"/>
      <c r="F23" s="531"/>
      <c r="G23" s="531"/>
      <c r="H23" s="531"/>
      <c r="I23" s="531"/>
      <c r="J23" s="531"/>
      <c r="K23" s="531"/>
      <c r="L23" s="532"/>
      <c r="M23" s="10"/>
    </row>
    <row r="24" spans="1:16" ht="330.75" customHeight="1" x14ac:dyDescent="0.25">
      <c r="B24" s="530" t="str">
        <f>IF(Intro!$G$20="English",O24,P24)</f>
        <v>Pour une plus grande certitude, la définition du produit ne comprend pas la tubulure de puits de gaz et de pétrole, mais elle comprend le tubage de puits semi-fini, communément appelé « tubes verts » ou à l’occasion « tuyaux verts ». Ces tubes verts, comme on les appelle le plus souvent dans l’industrie des fournitures tubulaires pour puits de pétrole (FTPP), sont des tuyaux en traitement ou intermédiaires qui nécessitent un traitement supplémentaire, comme le filetage, l’essai ou le traitement thermique, avant de pouvoir être utilisés comme FTPP pour le gaz et le pétrole entièrement finis dans les applications d’utilisation finale. Cette définition de produit comprend un tubage de puits de type tube vert (c. à d. des tubes verts ayant les caractéristiques nécessaires et conçus pour se terminer dans un tubage de puits) et ne comprend pas une tubulure de type tube vert.
Les tiges de forage sont elles aussi exclues de la définition du produit aux fins de la présente enquête. Elles consistent en des tubes lourds (généralement exempts de soudures) et à l’extrémité desquels sont fixés des joints très résistants, fabriqués selon la spécification 5DP ou 7-1 de l’American Petroleum Institute (API), et sont utilisés pour le forage de puits de pétrole et de gaz.
Les fractions de tubes courts sont également exclus de la définition des produits aux fins de la présente enquête. Il s’agit essentiellement de FTPP de courte longueur utilisés pour l’espacement dans un train de tiges de forage, et sont exclus lorsque leur longueur est de 12 pieds ou moins (avec une tolérance de trois pouces), comme défini dans la norme 5CT de l’API.
Les raccords non fixés ainsi que le matériel de couplage sont eux aussi exclus de la définition du produit aux fins de la présente enquête. Les raccords sont utilisés pour relier deux tuyaux, ce qui permet le passage d’hydrocarbures et d’autres liquides de production du réservoir vers la surface. Les raccords de caisson et de tubes sont offerts en divers formats, matériaux et modèles, et sont faits à partir de tuyaux de raccordement. Les tuyaux de raccordement sont semblables à d’autres FTPP, sauf que leur paroi est plus épaisse; ils sont utilisés pour fabriquer des tuyaux ou autres équipements flottants.
La tubulure isolée et la tubulure isolée par vide sont également excluses de la définition du produit aux fins de la présente enquête. Il s’agit d’un sous-ensemble de FTPP servant à la récupération thermique de pétrole brut extrêmement visqueux. Ces tubulures sont également appelées « tubes isolés à injection de vapeur » et « produits de tubage de production pétrolière », lesquels comprennent les tubes à paroi double isolés ou non. Ils sont employés dans des puits d’injection de vapeur, aux fins de drainage par gravité/injection de vapeur, dans des sables bitumineux, et pour fins de stimulation cyclique par injection de vapeur, dans des champs de pétrole lourds.
Enfin, les FTPP en acier inoxydable sont exclues de la définition du produit aux fins de la présente enquête.</v>
      </c>
      <c r="C24" s="531"/>
      <c r="D24" s="531"/>
      <c r="E24" s="531"/>
      <c r="F24" s="531"/>
      <c r="G24" s="531"/>
      <c r="H24" s="531"/>
      <c r="I24" s="531"/>
      <c r="J24" s="531"/>
      <c r="K24" s="531"/>
      <c r="L24" s="532"/>
      <c r="M24" s="10"/>
      <c r="O24" s="201" t="s">
        <v>678</v>
      </c>
      <c r="P24" s="201" t="s">
        <v>679</v>
      </c>
    </row>
    <row r="25" spans="1:16" x14ac:dyDescent="0.25">
      <c r="B25" s="16"/>
      <c r="C25" s="35"/>
      <c r="D25" s="35"/>
      <c r="E25" s="36"/>
      <c r="F25" s="36"/>
      <c r="G25" s="36"/>
      <c r="H25" s="36"/>
      <c r="I25" s="36"/>
      <c r="J25" s="36"/>
      <c r="K25" s="36"/>
      <c r="L25" s="17"/>
      <c r="M25" s="10"/>
    </row>
    <row r="26" spans="1:16" ht="7.5" customHeight="1" x14ac:dyDescent="0.25">
      <c r="B26" s="530"/>
      <c r="C26" s="531"/>
      <c r="D26" s="531"/>
      <c r="E26" s="531"/>
      <c r="F26" s="531"/>
      <c r="G26" s="531"/>
      <c r="H26" s="531"/>
      <c r="I26" s="531"/>
      <c r="J26" s="531"/>
      <c r="K26" s="531"/>
      <c r="L26" s="532"/>
      <c r="M26" s="10"/>
    </row>
    <row r="27" spans="1:16" s="38" customFormat="1" ht="9.75" customHeight="1" x14ac:dyDescent="0.25">
      <c r="A27" s="49"/>
      <c r="B27" s="50"/>
      <c r="C27" s="51"/>
      <c r="D27" s="51"/>
      <c r="E27" s="51"/>
      <c r="F27" s="51"/>
      <c r="G27" s="51"/>
      <c r="H27" s="51"/>
      <c r="I27" s="51"/>
      <c r="J27" s="51"/>
      <c r="K27" s="51"/>
      <c r="L27" s="52"/>
      <c r="O27" s="10"/>
      <c r="P27" s="10"/>
    </row>
    <row r="28" spans="1:16" s="6" customFormat="1" x14ac:dyDescent="0.25">
      <c r="A28" s="4"/>
      <c r="B28" s="14"/>
      <c r="C28" s="14"/>
      <c r="D28" s="14"/>
      <c r="E28" s="3"/>
      <c r="F28" s="3"/>
      <c r="G28" s="3"/>
      <c r="H28" s="3"/>
      <c r="I28" s="3"/>
      <c r="J28" s="3"/>
      <c r="K28" s="3"/>
      <c r="L28" s="3"/>
      <c r="O28" s="15"/>
      <c r="P28" s="27"/>
    </row>
    <row r="29" spans="1:16" s="2" customFormat="1" x14ac:dyDescent="0.25">
      <c r="A29" s="4"/>
      <c r="B29" s="536" t="str">
        <f>UPPER(IF(Intro!$G$20="English",O29,P29))</f>
        <v>TARIF DES DOUANES</v>
      </c>
      <c r="C29" s="537"/>
      <c r="D29" s="537" t="str">
        <f>UPPER(IF(Intro!$G$20="English",P29,Q29))</f>
        <v/>
      </c>
      <c r="E29" s="537" t="str">
        <f>UPPER(IF(Intro!$G$20="English",Q29,R29))</f>
        <v/>
      </c>
      <c r="F29" s="537" t="str">
        <f>UPPER(IF(Intro!$G$20="English",R29,S29))</f>
        <v/>
      </c>
      <c r="G29" s="537" t="str">
        <f>UPPER(IF(Intro!$G$20="English",S29,T29))</f>
        <v/>
      </c>
      <c r="H29" s="537" t="str">
        <f>UPPER(IF(Intro!$G$20="English",T29,U29))</f>
        <v/>
      </c>
      <c r="I29" s="537" t="str">
        <f>UPPER(IF(Intro!$G$20="English",U29,V29))</f>
        <v/>
      </c>
      <c r="J29" s="537" t="str">
        <f>UPPER(IF(Intro!$G$20="English",V29,W29))</f>
        <v/>
      </c>
      <c r="K29" s="537" t="str">
        <f>UPPER(IF(Intro!$G$20="English",W29,X29))</f>
        <v/>
      </c>
      <c r="L29" s="538" t="str">
        <f>UPPER(IF(Intro!$G$20="English",X29,Y29))</f>
        <v/>
      </c>
      <c r="M29" s="6"/>
      <c r="N29" s="5"/>
      <c r="O29" s="19" t="s">
        <v>67</v>
      </c>
      <c r="P29" s="9" t="s">
        <v>68</v>
      </c>
    </row>
    <row r="30" spans="1:16" x14ac:dyDescent="0.25">
      <c r="B30" s="16"/>
      <c r="C30" s="35"/>
      <c r="D30" s="35"/>
      <c r="E30" s="36"/>
      <c r="F30" s="36"/>
      <c r="G30" s="36"/>
      <c r="H30" s="36"/>
      <c r="I30" s="36"/>
      <c r="J30" s="36"/>
      <c r="K30" s="36"/>
      <c r="L30" s="17"/>
      <c r="M30" s="10"/>
    </row>
    <row r="31" spans="1:16" s="38" customFormat="1" x14ac:dyDescent="0.25">
      <c r="A31" s="49"/>
      <c r="B31" s="527" t="str">
        <f>IF(Intro!$G$20="English",O31,P31)</f>
        <v>Les marchandises sont généralement classées dans le Tarif des douanes sous les numéros suivants du Système harmonisé de désignation et de codification des marchandises (SH) :</v>
      </c>
      <c r="C31" s="528"/>
      <c r="D31" s="528"/>
      <c r="E31" s="528"/>
      <c r="F31" s="528"/>
      <c r="G31" s="528"/>
      <c r="H31" s="528"/>
      <c r="I31" s="528"/>
      <c r="J31" s="528"/>
      <c r="K31" s="528"/>
      <c r="L31" s="529"/>
      <c r="O31" s="10" t="s">
        <v>348</v>
      </c>
      <c r="P31" s="10" t="s">
        <v>349</v>
      </c>
    </row>
    <row r="32" spans="1:16" x14ac:dyDescent="0.25">
      <c r="B32" s="112"/>
      <c r="C32" s="102"/>
      <c r="D32" s="104"/>
      <c r="E32" s="104"/>
      <c r="F32" s="104"/>
      <c r="G32" s="104"/>
      <c r="H32" s="104"/>
      <c r="I32" s="104"/>
      <c r="J32" s="104"/>
      <c r="K32" s="104"/>
      <c r="L32" s="103"/>
      <c r="M32" s="10"/>
    </row>
    <row r="33" spans="1:18" s="38" customFormat="1" ht="19.5" customHeight="1" x14ac:dyDescent="0.25">
      <c r="A33" s="49"/>
      <c r="B33" s="527"/>
      <c r="C33" s="528"/>
      <c r="D33" s="640" t="str">
        <f>Variables!B20</f>
        <v>7304.29.00.12, 7304.29.00.13, 7304.29.00.14, 7304.29.00.15, 7304.29.00.16, 7304.29.00.17, 7304.29.00.19, 7304.29.00.22, 7304.29.00.23, 7304.29.00.24, 7304.29.00.25, 7304.29.00.26, 7304.29.00.27, 7304.29.00.29, 7306.29.00.12, 7306.29.00.13, 7306.29.00.14, 7306.29.00.15, 7306.29.00.16, 7306.29.00.17, 7306.29.00.19, 7306.29.00.22, 7306.29.00.23, 7306.29.00.24, 7306.29.00.25, 7306.29.00.26, 7306.29.00.27, 7306.29.00.29</v>
      </c>
      <c r="E33" s="641"/>
      <c r="F33" s="641"/>
      <c r="G33" s="641"/>
      <c r="H33" s="641"/>
      <c r="I33" s="641"/>
      <c r="J33" s="642"/>
      <c r="K33" s="66"/>
      <c r="L33" s="67"/>
      <c r="O33" s="10" t="str">
        <f>"Prior to "&amp;Variables!B19&amp;":"</f>
        <v>Prior to Date of change:</v>
      </c>
      <c r="P33" s="10" t="str">
        <f>"Avant le "&amp;Variables!C19&amp;" :"</f>
        <v>Avant le Date of change :</v>
      </c>
    </row>
    <row r="34" spans="1:18" s="38" customFormat="1" x14ac:dyDescent="0.25">
      <c r="A34" s="49"/>
      <c r="B34" s="527"/>
      <c r="C34" s="528"/>
      <c r="D34" s="643"/>
      <c r="E34" s="644"/>
      <c r="F34" s="644"/>
      <c r="G34" s="644"/>
      <c r="H34" s="644"/>
      <c r="I34" s="644"/>
      <c r="J34" s="645"/>
      <c r="K34" s="116"/>
      <c r="L34" s="117"/>
      <c r="O34" s="10"/>
      <c r="P34" s="10"/>
    </row>
    <row r="35" spans="1:18" s="38" customFormat="1" ht="26.25" customHeight="1" x14ac:dyDescent="0.25">
      <c r="A35" s="49"/>
      <c r="B35" s="527"/>
      <c r="C35" s="528"/>
      <c r="D35" s="646"/>
      <c r="E35" s="647"/>
      <c r="F35" s="647"/>
      <c r="G35" s="647"/>
      <c r="H35" s="647"/>
      <c r="I35" s="647"/>
      <c r="J35" s="648"/>
      <c r="K35" s="116"/>
      <c r="L35" s="117"/>
      <c r="O35" s="10"/>
      <c r="P35" s="10"/>
    </row>
    <row r="36" spans="1:18" s="38" customFormat="1" x14ac:dyDescent="0.25">
      <c r="A36" s="49"/>
      <c r="B36" s="50"/>
      <c r="C36" s="51"/>
      <c r="D36" s="51"/>
      <c r="E36" s="51"/>
      <c r="F36" s="51"/>
      <c r="G36" s="51"/>
      <c r="H36" s="51"/>
      <c r="I36" s="51"/>
      <c r="J36" s="51"/>
      <c r="K36" s="51"/>
      <c r="L36" s="52"/>
      <c r="O36" s="10"/>
      <c r="P36" s="10"/>
    </row>
    <row r="37" spans="1:18" s="6" customFormat="1" x14ac:dyDescent="0.25">
      <c r="A37" s="4"/>
      <c r="B37" s="14"/>
      <c r="C37" s="14"/>
      <c r="D37" s="14"/>
      <c r="E37" s="3"/>
      <c r="F37" s="3"/>
      <c r="G37" s="3"/>
      <c r="H37" s="3"/>
      <c r="I37" s="3"/>
      <c r="J37" s="3"/>
      <c r="K37" s="3"/>
      <c r="L37" s="3"/>
      <c r="O37" s="15"/>
      <c r="P37" s="27"/>
    </row>
    <row r="38" spans="1:18" s="2" customFormat="1" x14ac:dyDescent="0.25">
      <c r="A38" s="4"/>
      <c r="B38" s="618" t="str">
        <f>UPPER(IF(Intro!$G$20="English",O38,P38))</f>
        <v>GLOSSAIRE</v>
      </c>
      <c r="C38" s="618"/>
      <c r="D38" s="618" t="s">
        <v>197</v>
      </c>
      <c r="E38" s="618" t="s">
        <v>198</v>
      </c>
      <c r="F38" s="618" t="s">
        <v>198</v>
      </c>
      <c r="G38" s="618" t="s">
        <v>198</v>
      </c>
      <c r="H38" s="618" t="s">
        <v>198</v>
      </c>
      <c r="I38" s="618" t="s">
        <v>198</v>
      </c>
      <c r="J38" s="618" t="s">
        <v>198</v>
      </c>
      <c r="K38" s="618" t="s">
        <v>198</v>
      </c>
      <c r="L38" s="618" t="s">
        <v>198</v>
      </c>
      <c r="M38" s="6"/>
      <c r="N38" s="5"/>
      <c r="O38" s="19" t="s">
        <v>315</v>
      </c>
      <c r="P38" s="19" t="s">
        <v>197</v>
      </c>
    </row>
    <row r="39" spans="1:18" s="2" customFormat="1" x14ac:dyDescent="0.25">
      <c r="A39" s="4"/>
      <c r="B39" s="636" t="str">
        <f>IF(Intro!$G$20="English",O39,P39)</f>
        <v>Coûts de livraison</v>
      </c>
      <c r="C39" s="637"/>
      <c r="D39" s="638" t="str">
        <f>IF(Intro!$G$20="English",O40,P40)</f>
        <v xml:space="preserve">Les coûts de fret, manutention et assurance à votre entrepôt canadien et, le cas échéant, tous les frais d’importation, comme les droits de douane et autres (y compris les droits antidumping et compensateurs), les frais de courtage et les suppléments. </v>
      </c>
      <c r="E39" s="638"/>
      <c r="F39" s="638"/>
      <c r="G39" s="638"/>
      <c r="H39" s="638"/>
      <c r="I39" s="638"/>
      <c r="J39" s="638"/>
      <c r="K39" s="638"/>
      <c r="L39" s="639"/>
      <c r="M39" s="6"/>
      <c r="N39" s="5"/>
      <c r="O39" s="10" t="s">
        <v>422</v>
      </c>
      <c r="P39" s="10" t="s">
        <v>423</v>
      </c>
    </row>
    <row r="40" spans="1:18" s="2" customFormat="1" x14ac:dyDescent="0.25">
      <c r="A40" s="4"/>
      <c r="B40" s="623"/>
      <c r="C40" s="624"/>
      <c r="D40" s="619"/>
      <c r="E40" s="619"/>
      <c r="F40" s="619"/>
      <c r="G40" s="619"/>
      <c r="H40" s="619"/>
      <c r="I40" s="619"/>
      <c r="J40" s="619"/>
      <c r="K40" s="619"/>
      <c r="L40" s="620"/>
      <c r="M40" s="6"/>
      <c r="N40" s="5"/>
      <c r="O40" s="10" t="s">
        <v>424</v>
      </c>
      <c r="P40" s="9" t="s">
        <v>425</v>
      </c>
    </row>
    <row r="41" spans="1:18" s="2" customFormat="1" x14ac:dyDescent="0.25">
      <c r="A41" s="4"/>
      <c r="B41" s="623"/>
      <c r="C41" s="624"/>
      <c r="D41" s="619"/>
      <c r="E41" s="619"/>
      <c r="F41" s="619"/>
      <c r="G41" s="619"/>
      <c r="H41" s="619"/>
      <c r="I41" s="619"/>
      <c r="J41" s="619"/>
      <c r="K41" s="619"/>
      <c r="L41" s="620"/>
      <c r="M41" s="6"/>
      <c r="N41" s="5"/>
      <c r="O41" s="107"/>
      <c r="P41" s="107"/>
    </row>
    <row r="42" spans="1:18" s="38" customFormat="1" x14ac:dyDescent="0.25">
      <c r="A42" s="49"/>
      <c r="B42" s="634" t="str">
        <f>IF(Intro!$G$20="English",O42,P42)</f>
        <v>Valeur d’achat nette rendue (coût de revient)</v>
      </c>
      <c r="C42" s="635"/>
      <c r="D42" s="627" t="str">
        <f>IF(Intro!$G$20="English",O43,P43)</f>
        <v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v>
      </c>
      <c r="E42" s="627"/>
      <c r="F42" s="627"/>
      <c r="G42" s="627"/>
      <c r="H42" s="627"/>
      <c r="I42" s="627"/>
      <c r="J42" s="627"/>
      <c r="K42" s="627"/>
      <c r="L42" s="628"/>
      <c r="O42" s="10" t="s">
        <v>185</v>
      </c>
      <c r="P42" s="10" t="s">
        <v>388</v>
      </c>
    </row>
    <row r="43" spans="1:18" s="38" customFormat="1" x14ac:dyDescent="0.25">
      <c r="A43" s="49"/>
      <c r="B43" s="623"/>
      <c r="C43" s="624"/>
      <c r="D43" s="619"/>
      <c r="E43" s="619"/>
      <c r="F43" s="619"/>
      <c r="G43" s="619"/>
      <c r="H43" s="619"/>
      <c r="I43" s="619"/>
      <c r="J43" s="619"/>
      <c r="K43" s="619"/>
      <c r="L43" s="620"/>
      <c r="O43" s="15" t="s">
        <v>269</v>
      </c>
      <c r="P43" s="15" t="s">
        <v>270</v>
      </c>
      <c r="Q43" s="15"/>
      <c r="R43" s="15"/>
    </row>
    <row r="44" spans="1:18" s="38" customFormat="1" x14ac:dyDescent="0.25">
      <c r="A44" s="49"/>
      <c r="B44" s="623"/>
      <c r="C44" s="624"/>
      <c r="D44" s="619"/>
      <c r="E44" s="619"/>
      <c r="F44" s="619"/>
      <c r="G44" s="619"/>
      <c r="H44" s="619"/>
      <c r="I44" s="619"/>
      <c r="J44" s="619"/>
      <c r="K44" s="619"/>
      <c r="L44" s="620"/>
      <c r="O44" s="15"/>
      <c r="P44" s="15"/>
      <c r="Q44" s="15"/>
      <c r="R44" s="15"/>
    </row>
    <row r="45" spans="1:18" s="38" customFormat="1" x14ac:dyDescent="0.25">
      <c r="A45" s="49"/>
      <c r="B45" s="623"/>
      <c r="C45" s="624"/>
      <c r="D45" s="619"/>
      <c r="E45" s="619"/>
      <c r="F45" s="619"/>
      <c r="G45" s="619"/>
      <c r="H45" s="619"/>
      <c r="I45" s="619"/>
      <c r="J45" s="619"/>
      <c r="K45" s="619"/>
      <c r="L45" s="620"/>
      <c r="O45" s="10"/>
      <c r="P45" s="10"/>
      <c r="Q45" s="15"/>
      <c r="R45" s="15"/>
    </row>
    <row r="46" spans="1:18" s="38" customFormat="1" x14ac:dyDescent="0.25">
      <c r="A46" s="49"/>
      <c r="B46" s="623" t="str">
        <f>IF(Intro!$G$20="English",O46,P46)</f>
        <v>Valeur de vente nette rendue</v>
      </c>
      <c r="C46" s="624"/>
      <c r="D46" s="619" t="str">
        <f>IF(Intro!$G$20="English",O47,P47)</f>
        <v>La valeur de vos ventes après déduction des escomptes au comptant, des remises sur quantité et des escomptes reportés, des rabais, des taxes, des ristournes et des primes, qu’ils soient indiqués ou non sur la facture. Incluez le coût de livraison.</v>
      </c>
      <c r="E46" s="619"/>
      <c r="F46" s="619"/>
      <c r="G46" s="619"/>
      <c r="H46" s="619"/>
      <c r="I46" s="619"/>
      <c r="J46" s="619"/>
      <c r="K46" s="619"/>
      <c r="L46" s="620"/>
      <c r="O46" s="10" t="s">
        <v>183</v>
      </c>
      <c r="P46" s="10" t="s">
        <v>184</v>
      </c>
    </row>
    <row r="47" spans="1:18" x14ac:dyDescent="0.25">
      <c r="B47" s="623"/>
      <c r="C47" s="624"/>
      <c r="D47" s="619"/>
      <c r="E47" s="619"/>
      <c r="F47" s="619"/>
      <c r="G47" s="619"/>
      <c r="H47" s="619"/>
      <c r="I47" s="619"/>
      <c r="J47" s="619"/>
      <c r="K47" s="619"/>
      <c r="L47" s="620"/>
      <c r="O47" s="10" t="s">
        <v>426</v>
      </c>
      <c r="P47" s="9" t="s">
        <v>316</v>
      </c>
    </row>
    <row r="48" spans="1:18" x14ac:dyDescent="0.25">
      <c r="B48" s="625"/>
      <c r="C48" s="626"/>
      <c r="D48" s="621"/>
      <c r="E48" s="621"/>
      <c r="F48" s="621"/>
      <c r="G48" s="621"/>
      <c r="H48" s="621"/>
      <c r="I48" s="621"/>
      <c r="J48" s="621"/>
      <c r="K48" s="621"/>
      <c r="L48" s="622"/>
    </row>
    <row r="49" spans="1:18" s="38" customFormat="1" x14ac:dyDescent="0.25">
      <c r="A49" s="49"/>
      <c r="B49" s="623" t="str">
        <f>IF(Intro!$G$20="English",O49,P49)</f>
        <v>Entreprises affiliées</v>
      </c>
      <c r="C49" s="624"/>
      <c r="D49" s="568" t="str">
        <f>IF(Intro!$G$20="English",O50,P50)</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49" s="568"/>
      <c r="F49" s="568"/>
      <c r="G49" s="568"/>
      <c r="H49" s="568"/>
      <c r="I49" s="568"/>
      <c r="J49" s="568"/>
      <c r="K49" s="568"/>
      <c r="L49" s="629"/>
      <c r="O49" s="10" t="s">
        <v>281</v>
      </c>
      <c r="P49" s="10" t="s">
        <v>282</v>
      </c>
    </row>
    <row r="50" spans="1:18" s="38" customFormat="1" x14ac:dyDescent="0.25">
      <c r="A50" s="49"/>
      <c r="B50" s="623"/>
      <c r="C50" s="624"/>
      <c r="D50" s="568"/>
      <c r="E50" s="568"/>
      <c r="F50" s="568"/>
      <c r="G50" s="568"/>
      <c r="H50" s="568"/>
      <c r="I50" s="568"/>
      <c r="J50" s="568"/>
      <c r="K50" s="568"/>
      <c r="L50" s="629"/>
      <c r="O50" s="10" t="s">
        <v>273</v>
      </c>
      <c r="P50" s="10" t="s">
        <v>274</v>
      </c>
      <c r="Q50" s="10"/>
      <c r="R50" s="10"/>
    </row>
    <row r="51" spans="1:18" s="38" customFormat="1" x14ac:dyDescent="0.25">
      <c r="A51" s="49"/>
      <c r="B51" s="623"/>
      <c r="C51" s="624"/>
      <c r="D51" s="568"/>
      <c r="E51" s="568"/>
      <c r="F51" s="568"/>
      <c r="G51" s="568"/>
      <c r="H51" s="568"/>
      <c r="I51" s="568"/>
      <c r="J51" s="568"/>
      <c r="K51" s="568"/>
      <c r="L51" s="629"/>
      <c r="O51" s="10"/>
      <c r="P51" s="10"/>
      <c r="Q51" s="10"/>
      <c r="R51" s="10"/>
    </row>
    <row r="52" spans="1:18" s="38" customFormat="1" x14ac:dyDescent="0.25">
      <c r="A52" s="49"/>
      <c r="B52" s="632"/>
      <c r="C52" s="633"/>
      <c r="D52" s="630"/>
      <c r="E52" s="630"/>
      <c r="F52" s="630"/>
      <c r="G52" s="630"/>
      <c r="H52" s="630"/>
      <c r="I52" s="630"/>
      <c r="J52" s="630"/>
      <c r="K52" s="630"/>
      <c r="L52" s="631"/>
      <c r="O52" s="10"/>
      <c r="P52" s="10"/>
      <c r="Q52" s="10"/>
      <c r="R52" s="10"/>
    </row>
  </sheetData>
  <sheetProtection algorithmName="SHA-512" hashValue="hQFonFQbQLaS8mDzlqHKprQ5b/6n9xGw1d8h7VEhMNuXaLWlnsAYBql5bNIWLwQFoHR7Q7TjrqSW+P+64VV4cg==" saltValue="rL2ZV3DkH2MQfKNn43S59Q==" spinCount="100000" sheet="1" objects="1" scenarios="1" selectLockedCells="1"/>
  <mergeCells count="26">
    <mergeCell ref="B5:L5"/>
    <mergeCell ref="B4:L4"/>
    <mergeCell ref="B6:L6"/>
    <mergeCell ref="B8:L8"/>
    <mergeCell ref="B10:L10"/>
    <mergeCell ref="B33:C35"/>
    <mergeCell ref="B19:L19"/>
    <mergeCell ref="B29:L29"/>
    <mergeCell ref="B12:L13"/>
    <mergeCell ref="B15:L16"/>
    <mergeCell ref="B31:L31"/>
    <mergeCell ref="D33:J35"/>
    <mergeCell ref="B21:L21"/>
    <mergeCell ref="B22:L22"/>
    <mergeCell ref="B23:L23"/>
    <mergeCell ref="B24:L24"/>
    <mergeCell ref="B26:L26"/>
    <mergeCell ref="B38:L38"/>
    <mergeCell ref="D46:L48"/>
    <mergeCell ref="B46:C48"/>
    <mergeCell ref="D42:L45"/>
    <mergeCell ref="D49:L52"/>
    <mergeCell ref="B49:C52"/>
    <mergeCell ref="B42:C45"/>
    <mergeCell ref="B39:C41"/>
    <mergeCell ref="D39:L41"/>
  </mergeCells>
  <printOptions horizontalCentered="1"/>
  <pageMargins left="0.25" right="0.25" top="0.75" bottom="0.75" header="0.3" footer="0.3"/>
  <pageSetup scale="63" fitToHeight="0" orientation="portrait" r:id="rId1"/>
  <headerFooter>
    <oddFooter>&amp;L&amp;A</oddFooter>
  </headerFooter>
  <rowBreaks count="1" manualBreakCount="1">
    <brk id="37" min="1"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392"/>
  <sheetViews>
    <sheetView showGridLines="0" zoomScaleNormal="100" zoomScaleSheetLayoutView="55" workbookViewId="0">
      <selection activeCell="B381" sqref="B381:L382"/>
    </sheetView>
  </sheetViews>
  <sheetFormatPr defaultColWidth="9.140625" defaultRowHeight="14.25" x14ac:dyDescent="0.25"/>
  <cols>
    <col min="1" max="1" width="1.85546875" style="8" customWidth="1"/>
    <col min="2" max="12" width="14.5703125" style="1" customWidth="1"/>
    <col min="13" max="13" width="6.140625" style="9" customWidth="1"/>
    <col min="14" max="14" width="9.140625" style="10" customWidth="1"/>
    <col min="15" max="15" width="36.42578125" style="10" hidden="1" customWidth="1"/>
    <col min="16" max="16" width="34.140625" style="10" hidden="1" customWidth="1"/>
    <col min="17" max="19" width="8.42578125" style="10" customWidth="1"/>
    <col min="20" max="16384" width="9.140625" style="10"/>
  </cols>
  <sheetData>
    <row r="1" spans="1:21" x14ac:dyDescent="0.25">
      <c r="O1" s="10" t="s">
        <v>419</v>
      </c>
      <c r="P1" s="10" t="s">
        <v>419</v>
      </c>
    </row>
    <row r="2" spans="1:21" x14ac:dyDescent="0.25">
      <c r="B2" s="12" t="s">
        <v>66</v>
      </c>
      <c r="C2" s="12"/>
      <c r="O2" s="161" t="s">
        <v>93</v>
      </c>
      <c r="P2" s="161" t="s">
        <v>109</v>
      </c>
    </row>
    <row r="3" spans="1:21" x14ac:dyDescent="0.25">
      <c r="B3" s="13"/>
      <c r="C3" s="13"/>
      <c r="O3" s="2"/>
      <c r="P3" s="2"/>
    </row>
    <row r="4" spans="1:21" s="2" customFormat="1" x14ac:dyDescent="0.25">
      <c r="A4" s="4"/>
      <c r="B4" s="615" t="str">
        <f>Info!B4</f>
        <v>QUESTIONNAIRE À L'INTENTION DES IMPORTATEURS</v>
      </c>
      <c r="C4" s="616"/>
      <c r="D4" s="616"/>
      <c r="E4" s="616"/>
      <c r="F4" s="616"/>
      <c r="G4" s="616"/>
      <c r="H4" s="616"/>
      <c r="I4" s="616"/>
      <c r="J4" s="616"/>
      <c r="K4" s="616"/>
      <c r="L4" s="617"/>
      <c r="M4" s="5"/>
      <c r="N4" s="5"/>
      <c r="O4" s="19"/>
      <c r="P4" s="19"/>
    </row>
    <row r="5" spans="1:21" s="2" customFormat="1" x14ac:dyDescent="0.25">
      <c r="A5" s="4"/>
      <c r="B5" s="651" t="str">
        <f>Info!B5</f>
        <v>NQ-2026-001</v>
      </c>
      <c r="C5" s="652"/>
      <c r="D5" s="652"/>
      <c r="E5" s="652"/>
      <c r="F5" s="652"/>
      <c r="G5" s="652"/>
      <c r="H5" s="652"/>
      <c r="I5" s="652"/>
      <c r="J5" s="652"/>
      <c r="K5" s="652"/>
      <c r="L5" s="653"/>
      <c r="M5" s="5"/>
      <c r="N5" s="5"/>
      <c r="O5" s="19"/>
      <c r="P5" s="19"/>
    </row>
    <row r="6" spans="1:21" s="6" customFormat="1" x14ac:dyDescent="0.25">
      <c r="A6" s="4"/>
      <c r="B6" s="651" t="str">
        <f>Info!B6</f>
        <v>TUBAGES DE PUITS DE GAZ ET DE PÉTROLE</v>
      </c>
      <c r="C6" s="652"/>
      <c r="D6" s="652"/>
      <c r="E6" s="652"/>
      <c r="F6" s="652"/>
      <c r="G6" s="652"/>
      <c r="H6" s="652"/>
      <c r="I6" s="652"/>
      <c r="J6" s="652"/>
      <c r="K6" s="652"/>
      <c r="L6" s="653"/>
      <c r="M6" s="19"/>
      <c r="N6" s="19"/>
      <c r="O6" s="15"/>
      <c r="P6" s="15"/>
    </row>
    <row r="7" spans="1:21" s="6" customFormat="1" x14ac:dyDescent="0.25">
      <c r="A7" s="4"/>
      <c r="B7" s="154"/>
      <c r="C7" s="155"/>
      <c r="D7" s="155"/>
      <c r="E7" s="155"/>
      <c r="F7" s="155"/>
      <c r="G7" s="155"/>
      <c r="H7" s="155"/>
      <c r="I7" s="155"/>
      <c r="J7" s="155"/>
      <c r="K7" s="155"/>
      <c r="L7" s="156"/>
      <c r="M7" s="19"/>
      <c r="N7" s="19"/>
      <c r="O7" s="20"/>
    </row>
    <row r="8" spans="1:21" s="6" customFormat="1" x14ac:dyDescent="0.25">
      <c r="A8" s="4"/>
      <c r="B8" s="657" t="str">
        <f>IF(Intro!$G$20="English",O8,P8)</f>
        <v>Les marchandises dans les questions suivantes font référence aux marchandises comme définies dans la description du produit de l'onglet Intro.</v>
      </c>
      <c r="C8" s="658"/>
      <c r="D8" s="658"/>
      <c r="E8" s="658"/>
      <c r="F8" s="658"/>
      <c r="G8" s="658"/>
      <c r="H8" s="658"/>
      <c r="I8" s="658"/>
      <c r="J8" s="658"/>
      <c r="K8" s="658"/>
      <c r="L8" s="659"/>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25">
      <c r="A9" s="4"/>
      <c r="B9" s="657" t="str">
        <f>IF(Intro!$G$20="English",O9,P9)</f>
        <v>Des informations sur le produit et un glossaire de termes sont disponibles dans l'onglet Info.</v>
      </c>
      <c r="C9" s="658"/>
      <c r="D9" s="658"/>
      <c r="E9" s="658"/>
      <c r="F9" s="658"/>
      <c r="G9" s="658"/>
      <c r="H9" s="658"/>
      <c r="I9" s="658"/>
      <c r="J9" s="658"/>
      <c r="K9" s="658"/>
      <c r="L9" s="659"/>
      <c r="M9" s="19"/>
      <c r="N9" s="19"/>
      <c r="O9" s="15" t="s">
        <v>119</v>
      </c>
      <c r="P9" s="6" t="s">
        <v>120</v>
      </c>
    </row>
    <row r="10" spans="1:21" s="6" customFormat="1" x14ac:dyDescent="0.25">
      <c r="A10" s="4"/>
      <c r="B10" s="660" t="str">
        <f>IF(Intro!$G$20="English",O10,P10)</f>
        <v>Utilisez l'onglet AddPub si vous avez besoin de plus d'espace.</v>
      </c>
      <c r="C10" s="661"/>
      <c r="D10" s="661"/>
      <c r="E10" s="661"/>
      <c r="F10" s="661"/>
      <c r="G10" s="661"/>
      <c r="H10" s="661"/>
      <c r="I10" s="661"/>
      <c r="J10" s="661"/>
      <c r="K10" s="661"/>
      <c r="L10" s="662"/>
      <c r="M10" s="19"/>
      <c r="N10" s="19"/>
      <c r="O10" s="15" t="s">
        <v>121</v>
      </c>
      <c r="P10" s="15" t="s">
        <v>122</v>
      </c>
    </row>
    <row r="11" spans="1:21" s="6" customFormat="1" x14ac:dyDescent="0.25">
      <c r="A11" s="4"/>
      <c r="B11" s="14"/>
      <c r="C11" s="14"/>
      <c r="D11" s="3"/>
      <c r="E11" s="3"/>
      <c r="F11" s="3"/>
      <c r="G11" s="3"/>
      <c r="H11" s="3"/>
      <c r="I11" s="3"/>
      <c r="J11" s="3"/>
      <c r="K11" s="3"/>
      <c r="L11" s="3"/>
      <c r="O11" s="15"/>
      <c r="P11" s="15"/>
    </row>
    <row r="12" spans="1:21" x14ac:dyDescent="0.25">
      <c r="B12" s="533" t="str">
        <f>IF(Intro!$G$20="English",O12,P12)</f>
        <v>INFORMATIONS GÉNÉRALES SUR L'ENTREPRISE</v>
      </c>
      <c r="C12" s="534"/>
      <c r="D12" s="534"/>
      <c r="E12" s="534"/>
      <c r="F12" s="534"/>
      <c r="G12" s="534"/>
      <c r="H12" s="534"/>
      <c r="I12" s="534"/>
      <c r="J12" s="534"/>
      <c r="K12" s="534"/>
      <c r="L12" s="535"/>
      <c r="M12" s="38"/>
      <c r="O12" s="107" t="s">
        <v>317</v>
      </c>
      <c r="P12" s="107" t="s">
        <v>318</v>
      </c>
    </row>
    <row r="13" spans="1:21" x14ac:dyDescent="0.25">
      <c r="B13" s="671" t="s">
        <v>12</v>
      </c>
      <c r="C13" s="672"/>
      <c r="D13" s="672"/>
      <c r="E13" s="672"/>
      <c r="F13" s="672"/>
      <c r="G13" s="672"/>
      <c r="H13" s="672"/>
      <c r="I13" s="672"/>
      <c r="J13" s="672"/>
      <c r="K13" s="672"/>
      <c r="L13" s="673"/>
      <c r="M13" s="10"/>
    </row>
    <row r="14" spans="1:21" s="38" customFormat="1" x14ac:dyDescent="0.25">
      <c r="A14" s="49"/>
      <c r="B14" s="53"/>
      <c r="C14" s="144"/>
      <c r="D14" s="144"/>
      <c r="E14" s="144"/>
      <c r="F14" s="144"/>
      <c r="G14" s="144"/>
      <c r="H14" s="144"/>
      <c r="I14" s="144"/>
      <c r="J14" s="144"/>
      <c r="K14" s="144"/>
      <c r="L14" s="54"/>
      <c r="Q14" s="10"/>
      <c r="R14" s="10"/>
      <c r="S14" s="10"/>
      <c r="T14" s="10"/>
      <c r="U14" s="10"/>
    </row>
    <row r="15" spans="1:21" s="38" customFormat="1" x14ac:dyDescent="0.25">
      <c r="A15" s="49"/>
      <c r="B15" s="669" t="str">
        <f>IF(Intro!$G$20="English",O15,P15)</f>
        <v>Sélectionnez l'activité principale de votre entreprise concernant les marchandises entre le 1er janvier 2023 et le 31 mars 2026 2026 (sélectionnez une seule réponse) :</v>
      </c>
      <c r="C15" s="670"/>
      <c r="D15" s="670"/>
      <c r="E15" s="670"/>
      <c r="F15" s="670"/>
      <c r="G15" s="670"/>
      <c r="H15" s="670"/>
      <c r="I15" s="670"/>
      <c r="J15" s="670"/>
      <c r="K15" s="670"/>
      <c r="L15" s="582"/>
      <c r="O15" s="38" t="str">
        <f>"Select your firm's primary activities with respect to the goods between January 1, "&amp;Variables!B6&amp;" and "&amp;Variables!B7&amp;", "&amp;Variables!B8&amp;" (select only one response):"</f>
        <v>Select your firm's primary activities with respect to the goods between January 1, 2023 and March 31,2026, 2026 (select only one response):</v>
      </c>
      <c r="P15" s="38" t="str">
        <f>"Sélectionnez l'activité principale de votre entreprise concernant les marchandises entre le 1er janvier "&amp;Variables!C6&amp;" et le "&amp;Variables!C7&amp;" "&amp;Variables!C8&amp;" (sélectionnez une seule réponse) :"</f>
        <v>Sélectionnez l'activité principale de votre entreprise concernant les marchandises entre le 1er janvier 2023 et le 31 mars 2026 2026 (sélectionnez une seule réponse) :</v>
      </c>
      <c r="Q15" s="10"/>
      <c r="R15" s="10"/>
      <c r="S15" s="10"/>
      <c r="T15" s="10"/>
      <c r="U15" s="10"/>
    </row>
    <row r="16" spans="1:21" s="38" customFormat="1" ht="14.1" customHeight="1" x14ac:dyDescent="0.25">
      <c r="A16" s="49"/>
      <c r="B16" s="74"/>
      <c r="C16" s="201"/>
      <c r="D16" s="201"/>
      <c r="E16" s="201"/>
      <c r="F16" s="201"/>
      <c r="G16" s="201"/>
      <c r="H16" s="201"/>
      <c r="I16" s="201"/>
      <c r="J16" s="201"/>
      <c r="K16" s="201"/>
      <c r="L16" s="202"/>
      <c r="P16" s="206"/>
      <c r="R16" s="10"/>
      <c r="S16" s="10"/>
      <c r="T16" s="10"/>
      <c r="U16" s="10"/>
    </row>
    <row r="17" spans="1:21" s="38" customFormat="1" x14ac:dyDescent="0.25">
      <c r="A17" s="49"/>
      <c r="B17" s="649" t="str">
        <f>IF(Intro!$G$20="English",O17,P17)</f>
        <v>Votre entreprise a vendu les marchandises, sans modification, à des particuliers (c'est-à-dire un détaillant) ?</v>
      </c>
      <c r="C17" s="650"/>
      <c r="D17" s="650"/>
      <c r="E17" s="650"/>
      <c r="F17" s="650"/>
      <c r="G17" s="650"/>
      <c r="H17" s="650"/>
      <c r="I17" s="650"/>
      <c r="J17" s="650"/>
      <c r="K17" s="312"/>
      <c r="L17" s="202"/>
      <c r="O17" s="206" t="s">
        <v>461</v>
      </c>
      <c r="P17" s="206" t="s">
        <v>464</v>
      </c>
      <c r="R17" s="10"/>
      <c r="S17" s="10"/>
      <c r="T17" s="10"/>
      <c r="U17" s="10"/>
    </row>
    <row r="18" spans="1:21" s="38" customFormat="1" x14ac:dyDescent="0.25">
      <c r="A18" s="49"/>
      <c r="B18" s="649" t="str">
        <f>IF(Intro!$G$20="English",O18,P18)</f>
        <v>Votre entreprise a vendu les marchandises, sans modification, à d'autres entreprises (c'est-à-dire un distributeur des marchandises) ?</v>
      </c>
      <c r="C18" s="650"/>
      <c r="D18" s="650"/>
      <c r="E18" s="650"/>
      <c r="F18" s="650"/>
      <c r="G18" s="650"/>
      <c r="H18" s="650"/>
      <c r="I18" s="650"/>
      <c r="J18" s="650"/>
      <c r="K18" s="312"/>
      <c r="L18" s="202"/>
      <c r="O18" s="206" t="s">
        <v>462</v>
      </c>
      <c r="P18" s="206" t="s">
        <v>465</v>
      </c>
      <c r="R18" s="10"/>
      <c r="S18" s="10"/>
      <c r="T18" s="10"/>
      <c r="U18" s="10"/>
    </row>
    <row r="19" spans="1:21" ht="14.1" customHeight="1" x14ac:dyDescent="0.25">
      <c r="B19" s="688" t="str">
        <f>IF(Intro!$G$20="English",O19,P19)</f>
        <v>Votre entreprise a utilisé les marchandises dans la production d'un produit différent que vous avez ensuite vendu (c'est-à-dire un utilisateur final des marchandises) ?</v>
      </c>
      <c r="C19" s="689"/>
      <c r="D19" s="689"/>
      <c r="E19" s="689"/>
      <c r="F19" s="689"/>
      <c r="G19" s="689"/>
      <c r="H19" s="689"/>
      <c r="I19" s="689"/>
      <c r="J19" s="690"/>
      <c r="K19" s="525"/>
      <c r="L19" s="202"/>
      <c r="M19" s="10"/>
      <c r="O19" s="206" t="s">
        <v>466</v>
      </c>
      <c r="P19" s="206" t="s">
        <v>467</v>
      </c>
    </row>
    <row r="20" spans="1:21" ht="14.1" customHeight="1" x14ac:dyDescent="0.25">
      <c r="B20" s="691"/>
      <c r="C20" s="692"/>
      <c r="D20" s="692"/>
      <c r="E20" s="692"/>
      <c r="F20" s="692"/>
      <c r="G20" s="692"/>
      <c r="H20" s="692"/>
      <c r="I20" s="692"/>
      <c r="J20" s="693"/>
      <c r="K20" s="526"/>
      <c r="L20" s="205"/>
      <c r="M20" s="10"/>
      <c r="O20" s="206"/>
      <c r="P20" s="206"/>
    </row>
    <row r="21" spans="1:21" ht="14.1" customHeight="1" x14ac:dyDescent="0.25">
      <c r="B21" s="649" t="str">
        <f>IF(Intro!$G$20="English",O21,P21)</f>
        <v>Votre entreprise a utilisé les marchandises à ses propres fins et les marchandises n'ont été vendues sous aucune forme (c'est-à-dire un utilisateur final des marchandises) ?</v>
      </c>
      <c r="C21" s="650"/>
      <c r="D21" s="650"/>
      <c r="E21" s="650"/>
      <c r="F21" s="650"/>
      <c r="G21" s="650"/>
      <c r="H21" s="650"/>
      <c r="I21" s="650"/>
      <c r="J21" s="650"/>
      <c r="K21" s="525"/>
      <c r="L21" s="202"/>
      <c r="M21" s="10"/>
      <c r="O21" s="206" t="s">
        <v>463</v>
      </c>
      <c r="P21" s="206" t="s">
        <v>468</v>
      </c>
    </row>
    <row r="22" spans="1:21" ht="14.1" customHeight="1" x14ac:dyDescent="0.25">
      <c r="B22" s="649"/>
      <c r="C22" s="650"/>
      <c r="D22" s="650"/>
      <c r="E22" s="650"/>
      <c r="F22" s="650"/>
      <c r="G22" s="650"/>
      <c r="H22" s="650"/>
      <c r="I22" s="650"/>
      <c r="J22" s="650"/>
      <c r="K22" s="526"/>
      <c r="L22" s="202"/>
      <c r="M22" s="10"/>
      <c r="O22" s="206"/>
      <c r="P22" s="206"/>
    </row>
    <row r="23" spans="1:21" s="38" customFormat="1" x14ac:dyDescent="0.25">
      <c r="A23" s="49"/>
      <c r="B23" s="50"/>
      <c r="C23" s="51"/>
      <c r="D23" s="51"/>
      <c r="E23" s="51"/>
      <c r="F23" s="51"/>
      <c r="G23" s="51"/>
      <c r="H23" s="51"/>
      <c r="I23" s="51"/>
      <c r="J23" s="51"/>
      <c r="K23" s="51"/>
      <c r="L23" s="52"/>
      <c r="N23" s="10"/>
      <c r="O23" s="10"/>
      <c r="P23" s="10"/>
      <c r="T23" s="10"/>
      <c r="U23" s="10"/>
    </row>
    <row r="24" spans="1:21" x14ac:dyDescent="0.25">
      <c r="B24" s="674" t="s">
        <v>15</v>
      </c>
      <c r="C24" s="675"/>
      <c r="D24" s="675"/>
      <c r="E24" s="675"/>
      <c r="F24" s="675"/>
      <c r="G24" s="675"/>
      <c r="H24" s="675"/>
      <c r="I24" s="675"/>
      <c r="J24" s="675"/>
      <c r="K24" s="675"/>
      <c r="L24" s="676"/>
      <c r="M24" s="10"/>
      <c r="P24" s="38"/>
    </row>
    <row r="25" spans="1:21" x14ac:dyDescent="0.25">
      <c r="B25" s="16"/>
      <c r="C25" s="35"/>
      <c r="D25" s="36"/>
      <c r="E25" s="36"/>
      <c r="F25" s="36"/>
      <c r="G25" s="36"/>
      <c r="H25" s="36"/>
      <c r="I25" s="36"/>
      <c r="J25" s="36"/>
      <c r="K25" s="36"/>
      <c r="L25" s="17"/>
      <c r="M25" s="10"/>
    </row>
    <row r="26" spans="1:21" x14ac:dyDescent="0.25">
      <c r="B26" s="530" t="str">
        <f>IF(Intro!$G$20="English",O26,P26)</f>
        <v>Donnez un bref historique de votre entreprise, en insistant plus particulièrement sur les activités entourant les marchandises.</v>
      </c>
      <c r="C26" s="531"/>
      <c r="D26" s="531"/>
      <c r="E26" s="531"/>
      <c r="F26" s="531"/>
      <c r="G26" s="531"/>
      <c r="H26" s="531"/>
      <c r="I26" s="531"/>
      <c r="J26" s="531"/>
      <c r="K26" s="531"/>
      <c r="L26" s="532"/>
      <c r="M26" s="10"/>
      <c r="O26" s="18" t="s">
        <v>74</v>
      </c>
      <c r="P26" s="10" t="s">
        <v>75</v>
      </c>
    </row>
    <row r="27" spans="1:21" s="38" customFormat="1" x14ac:dyDescent="0.25">
      <c r="A27" s="49"/>
      <c r="B27" s="53"/>
      <c r="C27" s="93"/>
      <c r="D27" s="93"/>
      <c r="E27" s="93"/>
      <c r="F27" s="93"/>
      <c r="G27" s="93"/>
      <c r="H27" s="93"/>
      <c r="I27" s="93"/>
      <c r="J27" s="93"/>
      <c r="K27" s="93"/>
      <c r="L27" s="54"/>
      <c r="O27" s="10"/>
      <c r="P27" s="10"/>
      <c r="Q27" s="10"/>
      <c r="R27" s="10"/>
      <c r="S27" s="10"/>
      <c r="T27" s="10"/>
      <c r="U27" s="10"/>
    </row>
    <row r="28" spans="1:21" s="11" customFormat="1" x14ac:dyDescent="0.25">
      <c r="A28" s="8"/>
      <c r="B28" s="663"/>
      <c r="C28" s="664"/>
      <c r="D28" s="664"/>
      <c r="E28" s="664"/>
      <c r="F28" s="664"/>
      <c r="G28" s="664"/>
      <c r="H28" s="664"/>
      <c r="I28" s="664"/>
      <c r="J28" s="664"/>
      <c r="K28" s="664"/>
      <c r="L28" s="665"/>
      <c r="M28" s="38"/>
      <c r="Q28" s="10"/>
    </row>
    <row r="29" spans="1:21" s="11" customFormat="1" x14ac:dyDescent="0.25">
      <c r="A29" s="8"/>
      <c r="B29" s="663"/>
      <c r="C29" s="664"/>
      <c r="D29" s="664"/>
      <c r="E29" s="664"/>
      <c r="F29" s="664"/>
      <c r="G29" s="664"/>
      <c r="H29" s="664"/>
      <c r="I29" s="664"/>
      <c r="J29" s="664"/>
      <c r="K29" s="664"/>
      <c r="L29" s="665"/>
      <c r="M29" s="38"/>
      <c r="Q29" s="10"/>
    </row>
    <row r="30" spans="1:21" s="11" customFormat="1" x14ac:dyDescent="0.25">
      <c r="A30" s="8"/>
      <c r="B30" s="663"/>
      <c r="C30" s="664"/>
      <c r="D30" s="664"/>
      <c r="E30" s="664"/>
      <c r="F30" s="664"/>
      <c r="G30" s="664"/>
      <c r="H30" s="664"/>
      <c r="I30" s="664"/>
      <c r="J30" s="664"/>
      <c r="K30" s="664"/>
      <c r="L30" s="665"/>
      <c r="M30" s="38"/>
      <c r="Q30" s="10"/>
    </row>
    <row r="31" spans="1:21" s="11" customFormat="1" x14ac:dyDescent="0.25">
      <c r="A31" s="8"/>
      <c r="B31" s="663"/>
      <c r="C31" s="664"/>
      <c r="D31" s="664"/>
      <c r="E31" s="664"/>
      <c r="F31" s="664"/>
      <c r="G31" s="664"/>
      <c r="H31" s="664"/>
      <c r="I31" s="664"/>
      <c r="J31" s="664"/>
      <c r="K31" s="664"/>
      <c r="L31" s="665"/>
      <c r="M31" s="38"/>
      <c r="Q31" s="10"/>
    </row>
    <row r="32" spans="1:21" s="11" customFormat="1" x14ac:dyDescent="0.25">
      <c r="A32" s="8"/>
      <c r="B32" s="663"/>
      <c r="C32" s="664"/>
      <c r="D32" s="664"/>
      <c r="E32" s="664"/>
      <c r="F32" s="664"/>
      <c r="G32" s="664"/>
      <c r="H32" s="664"/>
      <c r="I32" s="664"/>
      <c r="J32" s="664"/>
      <c r="K32" s="664"/>
      <c r="L32" s="665"/>
      <c r="M32" s="38"/>
      <c r="Q32" s="10"/>
    </row>
    <row r="33" spans="1:21" s="11" customFormat="1" x14ac:dyDescent="0.25">
      <c r="A33" s="8"/>
      <c r="B33" s="663"/>
      <c r="C33" s="664"/>
      <c r="D33" s="664"/>
      <c r="E33" s="664"/>
      <c r="F33" s="664"/>
      <c r="G33" s="664"/>
      <c r="H33" s="664"/>
      <c r="I33" s="664"/>
      <c r="J33" s="664"/>
      <c r="K33" s="664"/>
      <c r="L33" s="665"/>
      <c r="M33" s="38"/>
      <c r="Q33" s="10"/>
    </row>
    <row r="34" spans="1:21" s="11" customFormat="1" x14ac:dyDescent="0.25">
      <c r="A34" s="8"/>
      <c r="B34" s="663"/>
      <c r="C34" s="664"/>
      <c r="D34" s="664"/>
      <c r="E34" s="664"/>
      <c r="F34" s="664"/>
      <c r="G34" s="664"/>
      <c r="H34" s="664"/>
      <c r="I34" s="664"/>
      <c r="J34" s="664"/>
      <c r="K34" s="664"/>
      <c r="L34" s="665"/>
      <c r="M34" s="38"/>
      <c r="Q34" s="10"/>
    </row>
    <row r="35" spans="1:21" s="11" customFormat="1" x14ac:dyDescent="0.25">
      <c r="A35" s="8"/>
      <c r="B35" s="663"/>
      <c r="C35" s="664"/>
      <c r="D35" s="664"/>
      <c r="E35" s="664"/>
      <c r="F35" s="664"/>
      <c r="G35" s="664"/>
      <c r="H35" s="664"/>
      <c r="I35" s="664"/>
      <c r="J35" s="664"/>
      <c r="K35" s="664"/>
      <c r="L35" s="665"/>
      <c r="M35" s="38"/>
      <c r="Q35" s="10"/>
    </row>
    <row r="36" spans="1:21" s="38" customFormat="1" x14ac:dyDescent="0.25">
      <c r="A36" s="49"/>
      <c r="B36" s="50"/>
      <c r="C36" s="51"/>
      <c r="D36" s="51"/>
      <c r="E36" s="51"/>
      <c r="F36" s="51"/>
      <c r="G36" s="51"/>
      <c r="H36" s="51"/>
      <c r="I36" s="51"/>
      <c r="J36" s="51"/>
      <c r="K36" s="51"/>
      <c r="L36" s="52"/>
      <c r="O36" s="10"/>
      <c r="P36" s="10"/>
      <c r="Q36" s="10"/>
      <c r="R36" s="10"/>
      <c r="S36" s="10"/>
      <c r="T36" s="10"/>
      <c r="U36" s="10"/>
    </row>
    <row r="37" spans="1:21" s="11" customFormat="1" x14ac:dyDescent="0.25">
      <c r="A37" s="8"/>
      <c r="B37" s="674" t="s">
        <v>16</v>
      </c>
      <c r="C37" s="675"/>
      <c r="D37" s="675"/>
      <c r="E37" s="675"/>
      <c r="F37" s="675"/>
      <c r="G37" s="675"/>
      <c r="H37" s="675"/>
      <c r="I37" s="675"/>
      <c r="J37" s="675"/>
      <c r="K37" s="675"/>
      <c r="L37" s="676"/>
      <c r="M37" s="73"/>
    </row>
    <row r="38" spans="1:21" s="38" customFormat="1" x14ac:dyDescent="0.25">
      <c r="A38" s="49"/>
      <c r="B38" s="53"/>
      <c r="C38" s="93"/>
      <c r="D38" s="93"/>
      <c r="E38" s="93"/>
      <c r="F38" s="93"/>
      <c r="G38" s="93"/>
      <c r="H38" s="93"/>
      <c r="I38" s="93"/>
      <c r="J38" s="93"/>
      <c r="K38" s="93"/>
      <c r="L38" s="54"/>
      <c r="O38" s="10"/>
      <c r="P38" s="10"/>
      <c r="Q38" s="10"/>
      <c r="R38" s="10"/>
      <c r="S38" s="10"/>
      <c r="T38" s="10"/>
      <c r="U38" s="10"/>
    </row>
    <row r="39" spans="1:21" s="38" customFormat="1" x14ac:dyDescent="0.25">
      <c r="A39" s="49"/>
      <c r="B39" s="527" t="str">
        <f>IF(Intro!$G$20="English",O39,P39)</f>
        <v>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39" s="528"/>
      <c r="D39" s="528"/>
      <c r="E39" s="528"/>
      <c r="F39" s="528"/>
      <c r="G39" s="528"/>
      <c r="H39" s="528"/>
      <c r="I39" s="528"/>
      <c r="J39" s="528"/>
      <c r="K39" s="528"/>
      <c r="L39" s="529"/>
      <c r="O39" s="10" t="s">
        <v>279</v>
      </c>
      <c r="P39" s="10" t="s">
        <v>280</v>
      </c>
      <c r="Q39" s="10"/>
      <c r="R39" s="10"/>
      <c r="S39" s="10"/>
      <c r="T39" s="10"/>
      <c r="U39" s="10"/>
    </row>
    <row r="40" spans="1:21" s="38" customFormat="1" x14ac:dyDescent="0.25">
      <c r="A40" s="49"/>
      <c r="B40" s="527"/>
      <c r="C40" s="528"/>
      <c r="D40" s="528"/>
      <c r="E40" s="528"/>
      <c r="F40" s="528"/>
      <c r="G40" s="528"/>
      <c r="H40" s="528"/>
      <c r="I40" s="528"/>
      <c r="J40" s="528"/>
      <c r="K40" s="528"/>
      <c r="L40" s="529"/>
      <c r="O40" s="10"/>
      <c r="P40" s="10"/>
      <c r="Q40" s="10"/>
      <c r="R40" s="10"/>
      <c r="S40" s="10"/>
      <c r="T40" s="10"/>
      <c r="U40" s="10"/>
    </row>
    <row r="41" spans="1:21" s="38" customFormat="1" x14ac:dyDescent="0.25">
      <c r="A41" s="49"/>
      <c r="B41" s="527"/>
      <c r="C41" s="528"/>
      <c r="D41" s="528"/>
      <c r="E41" s="528"/>
      <c r="F41" s="528"/>
      <c r="G41" s="528"/>
      <c r="H41" s="528"/>
      <c r="I41" s="528"/>
      <c r="J41" s="528"/>
      <c r="K41" s="528"/>
      <c r="L41" s="529"/>
      <c r="O41" s="10"/>
      <c r="P41" s="10"/>
      <c r="Q41" s="10"/>
      <c r="R41" s="10"/>
      <c r="S41" s="10"/>
      <c r="T41" s="10"/>
      <c r="U41" s="10"/>
    </row>
    <row r="42" spans="1:21" s="38" customFormat="1" x14ac:dyDescent="0.25">
      <c r="A42" s="49"/>
      <c r="B42" s="53"/>
      <c r="C42" s="93"/>
      <c r="D42" s="93"/>
      <c r="E42" s="93"/>
      <c r="F42" s="93"/>
      <c r="G42" s="93"/>
      <c r="H42" s="93"/>
      <c r="I42" s="93"/>
      <c r="J42" s="93"/>
      <c r="K42" s="93"/>
      <c r="L42" s="54"/>
      <c r="O42" s="10"/>
      <c r="P42" s="10"/>
      <c r="Q42" s="10"/>
      <c r="R42" s="10"/>
      <c r="S42" s="10"/>
      <c r="T42" s="10"/>
      <c r="U42" s="10"/>
    </row>
    <row r="43" spans="1:21" x14ac:dyDescent="0.25">
      <c r="B43" s="667"/>
      <c r="C43" s="686" t="str">
        <f>IF(Intro!$G$20="English",O43,P43)</f>
        <v xml:space="preserve">Dénomination sociale de l'entreprise </v>
      </c>
      <c r="D43" s="686"/>
      <c r="E43" s="686" t="str">
        <f>IF(Intro!$G$20="English",O44,P44)</f>
        <v>Adresse de l'entreprise</v>
      </c>
      <c r="F43" s="686"/>
      <c r="G43" s="686" t="str">
        <f>IF(Intro!$G$20="English",O45,P45)</f>
        <v>Type d'affiliation</v>
      </c>
      <c r="H43" s="686"/>
      <c r="I43" s="686"/>
      <c r="J43" s="686" t="str">
        <f>IF(Intro!$G$20="English",O46,P46)</f>
        <v>Rôle dans l'industrie</v>
      </c>
      <c r="K43" s="686"/>
      <c r="L43" s="687"/>
      <c r="M43" s="10"/>
      <c r="O43" s="10" t="s">
        <v>1</v>
      </c>
      <c r="P43" s="10" t="s">
        <v>13</v>
      </c>
    </row>
    <row r="44" spans="1:21" x14ac:dyDescent="0.25">
      <c r="B44" s="667"/>
      <c r="C44" s="686"/>
      <c r="D44" s="686"/>
      <c r="E44" s="686"/>
      <c r="F44" s="686"/>
      <c r="G44" s="686"/>
      <c r="H44" s="686"/>
      <c r="I44" s="686"/>
      <c r="J44" s="686"/>
      <c r="K44" s="686"/>
      <c r="L44" s="687"/>
      <c r="M44" s="10"/>
      <c r="O44" s="10" t="s">
        <v>2</v>
      </c>
      <c r="P44" s="10" t="s">
        <v>3</v>
      </c>
    </row>
    <row r="45" spans="1:21" x14ac:dyDescent="0.25">
      <c r="B45" s="666">
        <v>1</v>
      </c>
      <c r="C45" s="668"/>
      <c r="D45" s="589"/>
      <c r="E45" s="589"/>
      <c r="F45" s="589"/>
      <c r="G45" s="589"/>
      <c r="H45" s="589"/>
      <c r="I45" s="589"/>
      <c r="J45" s="589"/>
      <c r="K45" s="589"/>
      <c r="L45" s="590"/>
      <c r="M45" s="10"/>
      <c r="O45" s="10" t="s">
        <v>208</v>
      </c>
      <c r="P45" s="10" t="s">
        <v>247</v>
      </c>
    </row>
    <row r="46" spans="1:21" x14ac:dyDescent="0.25">
      <c r="B46" s="666"/>
      <c r="C46" s="668"/>
      <c r="D46" s="589"/>
      <c r="E46" s="591"/>
      <c r="F46" s="591"/>
      <c r="G46" s="591"/>
      <c r="H46" s="591"/>
      <c r="I46" s="591"/>
      <c r="J46" s="591"/>
      <c r="K46" s="591"/>
      <c r="L46" s="592"/>
      <c r="M46" s="10"/>
      <c r="O46" s="10" t="s">
        <v>14</v>
      </c>
      <c r="P46" s="10" t="s">
        <v>64</v>
      </c>
    </row>
    <row r="47" spans="1:21" x14ac:dyDescent="0.25">
      <c r="B47" s="666">
        <v>2</v>
      </c>
      <c r="C47" s="668"/>
      <c r="D47" s="589"/>
      <c r="E47" s="589"/>
      <c r="F47" s="589"/>
      <c r="G47" s="589"/>
      <c r="H47" s="589"/>
      <c r="I47" s="589"/>
      <c r="J47" s="589"/>
      <c r="K47" s="589"/>
      <c r="L47" s="590"/>
      <c r="M47" s="10"/>
    </row>
    <row r="48" spans="1:21" x14ac:dyDescent="0.25">
      <c r="B48" s="666"/>
      <c r="C48" s="668"/>
      <c r="D48" s="589"/>
      <c r="E48" s="591"/>
      <c r="F48" s="591"/>
      <c r="G48" s="591"/>
      <c r="H48" s="591"/>
      <c r="I48" s="591"/>
      <c r="J48" s="591"/>
      <c r="K48" s="591"/>
      <c r="L48" s="592"/>
      <c r="M48" s="10"/>
    </row>
    <row r="49" spans="2:13" x14ac:dyDescent="0.25">
      <c r="B49" s="666">
        <v>3</v>
      </c>
      <c r="C49" s="668"/>
      <c r="D49" s="589"/>
      <c r="E49" s="589"/>
      <c r="F49" s="589"/>
      <c r="G49" s="589"/>
      <c r="H49" s="589"/>
      <c r="I49" s="589"/>
      <c r="J49" s="589"/>
      <c r="K49" s="589"/>
      <c r="L49" s="590"/>
      <c r="M49" s="10"/>
    </row>
    <row r="50" spans="2:13" x14ac:dyDescent="0.25">
      <c r="B50" s="666"/>
      <c r="C50" s="668"/>
      <c r="D50" s="589"/>
      <c r="E50" s="591"/>
      <c r="F50" s="591"/>
      <c r="G50" s="591"/>
      <c r="H50" s="591"/>
      <c r="I50" s="591"/>
      <c r="J50" s="591"/>
      <c r="K50" s="591"/>
      <c r="L50" s="592"/>
      <c r="M50" s="10"/>
    </row>
    <row r="51" spans="2:13" x14ac:dyDescent="0.25">
      <c r="B51" s="666">
        <v>4</v>
      </c>
      <c r="C51" s="668"/>
      <c r="D51" s="589"/>
      <c r="E51" s="589"/>
      <c r="F51" s="589"/>
      <c r="G51" s="589"/>
      <c r="H51" s="589"/>
      <c r="I51" s="589"/>
      <c r="J51" s="589"/>
      <c r="K51" s="589"/>
      <c r="L51" s="590"/>
      <c r="M51" s="10"/>
    </row>
    <row r="52" spans="2:13" x14ac:dyDescent="0.25">
      <c r="B52" s="666"/>
      <c r="C52" s="668"/>
      <c r="D52" s="589"/>
      <c r="E52" s="591"/>
      <c r="F52" s="591"/>
      <c r="G52" s="591"/>
      <c r="H52" s="591"/>
      <c r="I52" s="591"/>
      <c r="J52" s="591"/>
      <c r="K52" s="591"/>
      <c r="L52" s="592"/>
      <c r="M52" s="10"/>
    </row>
    <row r="53" spans="2:13" x14ac:dyDescent="0.25">
      <c r="B53" s="666">
        <v>5</v>
      </c>
      <c r="C53" s="668"/>
      <c r="D53" s="589"/>
      <c r="E53" s="589"/>
      <c r="F53" s="589"/>
      <c r="G53" s="589"/>
      <c r="H53" s="589"/>
      <c r="I53" s="589"/>
      <c r="J53" s="589"/>
      <c r="K53" s="589"/>
      <c r="L53" s="590"/>
      <c r="M53" s="10"/>
    </row>
    <row r="54" spans="2:13" x14ac:dyDescent="0.25">
      <c r="B54" s="666"/>
      <c r="C54" s="668"/>
      <c r="D54" s="589"/>
      <c r="E54" s="591"/>
      <c r="F54" s="591"/>
      <c r="G54" s="591"/>
      <c r="H54" s="591"/>
      <c r="I54" s="591"/>
      <c r="J54" s="591"/>
      <c r="K54" s="591"/>
      <c r="L54" s="592"/>
      <c r="M54" s="10"/>
    </row>
    <row r="55" spans="2:13" x14ac:dyDescent="0.25">
      <c r="B55" s="666">
        <v>6</v>
      </c>
      <c r="C55" s="668"/>
      <c r="D55" s="589"/>
      <c r="E55" s="589"/>
      <c r="F55" s="589"/>
      <c r="G55" s="589"/>
      <c r="H55" s="589"/>
      <c r="I55" s="589"/>
      <c r="J55" s="589"/>
      <c r="K55" s="589"/>
      <c r="L55" s="590"/>
      <c r="M55" s="10"/>
    </row>
    <row r="56" spans="2:13" x14ac:dyDescent="0.25">
      <c r="B56" s="666"/>
      <c r="C56" s="668"/>
      <c r="D56" s="589"/>
      <c r="E56" s="591"/>
      <c r="F56" s="591"/>
      <c r="G56" s="591"/>
      <c r="H56" s="591"/>
      <c r="I56" s="591"/>
      <c r="J56" s="591"/>
      <c r="K56" s="591"/>
      <c r="L56" s="592"/>
      <c r="M56" s="10"/>
    </row>
    <row r="57" spans="2:13" x14ac:dyDescent="0.25">
      <c r="B57" s="666">
        <v>7</v>
      </c>
      <c r="C57" s="668"/>
      <c r="D57" s="589"/>
      <c r="E57" s="589"/>
      <c r="F57" s="589"/>
      <c r="G57" s="589"/>
      <c r="H57" s="589"/>
      <c r="I57" s="589"/>
      <c r="J57" s="589"/>
      <c r="K57" s="589"/>
      <c r="L57" s="590"/>
      <c r="M57" s="10"/>
    </row>
    <row r="58" spans="2:13" x14ac:dyDescent="0.25">
      <c r="B58" s="666"/>
      <c r="C58" s="668"/>
      <c r="D58" s="589"/>
      <c r="E58" s="591"/>
      <c r="F58" s="591"/>
      <c r="G58" s="591"/>
      <c r="H58" s="591"/>
      <c r="I58" s="591"/>
      <c r="J58" s="591"/>
      <c r="K58" s="591"/>
      <c r="L58" s="592"/>
      <c r="M58" s="10"/>
    </row>
    <row r="59" spans="2:13" x14ac:dyDescent="0.25">
      <c r="B59" s="666">
        <v>8</v>
      </c>
      <c r="C59" s="668"/>
      <c r="D59" s="589"/>
      <c r="E59" s="589"/>
      <c r="F59" s="589"/>
      <c r="G59" s="589"/>
      <c r="H59" s="589"/>
      <c r="I59" s="589"/>
      <c r="J59" s="589"/>
      <c r="K59" s="589"/>
      <c r="L59" s="590"/>
      <c r="M59" s="10"/>
    </row>
    <row r="60" spans="2:13" x14ac:dyDescent="0.25">
      <c r="B60" s="666"/>
      <c r="C60" s="668"/>
      <c r="D60" s="589"/>
      <c r="E60" s="591"/>
      <c r="F60" s="591"/>
      <c r="G60" s="591"/>
      <c r="H60" s="591"/>
      <c r="I60" s="591"/>
      <c r="J60" s="591"/>
      <c r="K60" s="591"/>
      <c r="L60" s="592"/>
      <c r="M60" s="10"/>
    </row>
    <row r="61" spans="2:13" x14ac:dyDescent="0.25">
      <c r="B61" s="666">
        <v>9</v>
      </c>
      <c r="C61" s="668"/>
      <c r="D61" s="589"/>
      <c r="E61" s="589"/>
      <c r="F61" s="589"/>
      <c r="G61" s="589"/>
      <c r="H61" s="589"/>
      <c r="I61" s="589"/>
      <c r="J61" s="589"/>
      <c r="K61" s="589"/>
      <c r="L61" s="590"/>
      <c r="M61" s="10"/>
    </row>
    <row r="62" spans="2:13" x14ac:dyDescent="0.25">
      <c r="B62" s="666"/>
      <c r="C62" s="668"/>
      <c r="D62" s="589"/>
      <c r="E62" s="591"/>
      <c r="F62" s="591"/>
      <c r="G62" s="591"/>
      <c r="H62" s="591"/>
      <c r="I62" s="591"/>
      <c r="J62" s="591"/>
      <c r="K62" s="591"/>
      <c r="L62" s="592"/>
      <c r="M62" s="10"/>
    </row>
    <row r="63" spans="2:13" x14ac:dyDescent="0.25">
      <c r="B63" s="666">
        <v>10</v>
      </c>
      <c r="C63" s="668"/>
      <c r="D63" s="589"/>
      <c r="E63" s="589"/>
      <c r="F63" s="589"/>
      <c r="G63" s="589"/>
      <c r="H63" s="589"/>
      <c r="I63" s="589"/>
      <c r="J63" s="589"/>
      <c r="K63" s="589"/>
      <c r="L63" s="590"/>
      <c r="M63" s="10"/>
    </row>
    <row r="64" spans="2:13" x14ac:dyDescent="0.25">
      <c r="B64" s="666"/>
      <c r="C64" s="668"/>
      <c r="D64" s="589"/>
      <c r="E64" s="591"/>
      <c r="F64" s="591"/>
      <c r="G64" s="591"/>
      <c r="H64" s="591"/>
      <c r="I64" s="591"/>
      <c r="J64" s="591"/>
      <c r="K64" s="591"/>
      <c r="L64" s="592"/>
      <c r="M64" s="10"/>
    </row>
    <row r="65" spans="1:21" s="38" customFormat="1" x14ac:dyDescent="0.25">
      <c r="A65" s="49"/>
      <c r="B65" s="50"/>
      <c r="C65" s="51"/>
      <c r="D65" s="51"/>
      <c r="E65" s="51"/>
      <c r="F65" s="51"/>
      <c r="G65" s="51"/>
      <c r="H65" s="51"/>
      <c r="I65" s="51"/>
      <c r="J65" s="51"/>
      <c r="K65" s="51"/>
      <c r="L65" s="52"/>
      <c r="O65" s="10"/>
      <c r="P65" s="10"/>
      <c r="Q65" s="10"/>
      <c r="R65" s="10"/>
      <c r="S65" s="10"/>
      <c r="T65" s="10"/>
      <c r="U65" s="10"/>
    </row>
    <row r="66" spans="1:21" s="11" customFormat="1" x14ac:dyDescent="0.25">
      <c r="A66" s="7"/>
      <c r="B66" s="674" t="s">
        <v>17</v>
      </c>
      <c r="C66" s="675"/>
      <c r="D66" s="675"/>
      <c r="E66" s="675"/>
      <c r="F66" s="675"/>
      <c r="G66" s="675"/>
      <c r="H66" s="675"/>
      <c r="I66" s="675"/>
      <c r="J66" s="675"/>
      <c r="K66" s="675"/>
      <c r="L66" s="676"/>
      <c r="M66" s="73"/>
    </row>
    <row r="67" spans="1:21" s="38" customFormat="1" x14ac:dyDescent="0.25">
      <c r="A67" s="49"/>
      <c r="B67" s="53"/>
      <c r="C67" s="93"/>
      <c r="D67" s="93"/>
      <c r="E67" s="93"/>
      <c r="F67" s="93"/>
      <c r="G67" s="93"/>
      <c r="H67" s="93"/>
      <c r="I67" s="93"/>
      <c r="J67" s="93"/>
      <c r="K67" s="93"/>
      <c r="L67" s="54"/>
      <c r="O67" s="10"/>
      <c r="P67" s="10"/>
      <c r="Q67" s="10"/>
      <c r="R67" s="10"/>
      <c r="S67" s="10"/>
      <c r="T67" s="10"/>
      <c r="U67" s="10"/>
    </row>
    <row r="68" spans="1:21" s="38" customFormat="1" x14ac:dyDescent="0.25">
      <c r="A68" s="49"/>
      <c r="B68" s="530" t="str">
        <f>IF(Intro!$G$20="English",O68,P68)</f>
        <v>Fournissez des détails sur tout changement dans la propriété majoritaire de votre entreprise depuis le 1er janvier 2023.</v>
      </c>
      <c r="C68" s="531"/>
      <c r="D68" s="531"/>
      <c r="E68" s="531"/>
      <c r="F68" s="531"/>
      <c r="G68" s="531"/>
      <c r="H68" s="531"/>
      <c r="I68" s="531"/>
      <c r="J68" s="531"/>
      <c r="K68" s="531"/>
      <c r="L68" s="532"/>
      <c r="O68" s="10" t="str">
        <f>"Provide details of any change of majority ownership of your firm since January 1, "&amp;Variables!B6&amp;"."</f>
        <v>Provide details of any change of majority ownership of your firm since January 1, 2023.</v>
      </c>
      <c r="P68" s="10" t="str">
        <f>"Fournissez des détails sur tout changement dans la propriété majoritaire de votre entreprise depuis le 1er janvier "&amp;Variables!B6&amp;"."</f>
        <v>Fournissez des détails sur tout changement dans la propriété majoritaire de votre entreprise depuis le 1er janvier 2023.</v>
      </c>
      <c r="Q68" s="10"/>
      <c r="R68" s="10"/>
      <c r="S68" s="10"/>
      <c r="T68" s="10"/>
      <c r="U68" s="10"/>
    </row>
    <row r="69" spans="1:21" s="38" customFormat="1" x14ac:dyDescent="0.25">
      <c r="A69" s="49"/>
      <c r="B69" s="53"/>
      <c r="C69" s="93"/>
      <c r="D69" s="93"/>
      <c r="E69" s="93"/>
      <c r="F69" s="93"/>
      <c r="G69" s="93"/>
      <c r="H69" s="93"/>
      <c r="I69" s="93"/>
      <c r="J69" s="93"/>
      <c r="K69" s="93"/>
      <c r="L69" s="54"/>
      <c r="O69" s="10"/>
      <c r="P69" s="10"/>
      <c r="Q69" s="10"/>
      <c r="R69" s="10"/>
      <c r="S69" s="10"/>
      <c r="T69" s="10"/>
      <c r="U69" s="10"/>
    </row>
    <row r="70" spans="1:21" s="11" customFormat="1" x14ac:dyDescent="0.25">
      <c r="A70" s="8"/>
      <c r="B70" s="663"/>
      <c r="C70" s="664"/>
      <c r="D70" s="664"/>
      <c r="E70" s="664"/>
      <c r="F70" s="664"/>
      <c r="G70" s="664"/>
      <c r="H70" s="664"/>
      <c r="I70" s="664"/>
      <c r="J70" s="664"/>
      <c r="K70" s="664"/>
      <c r="L70" s="665"/>
      <c r="M70" s="38"/>
      <c r="Q70" s="10"/>
    </row>
    <row r="71" spans="1:21" s="11" customFormat="1" x14ac:dyDescent="0.25">
      <c r="A71" s="8"/>
      <c r="B71" s="663"/>
      <c r="C71" s="664"/>
      <c r="D71" s="664"/>
      <c r="E71" s="664"/>
      <c r="F71" s="664"/>
      <c r="G71" s="664"/>
      <c r="H71" s="664"/>
      <c r="I71" s="664"/>
      <c r="J71" s="664"/>
      <c r="K71" s="664"/>
      <c r="L71" s="665"/>
      <c r="M71" s="38"/>
      <c r="Q71" s="10"/>
    </row>
    <row r="72" spans="1:21" s="11" customFormat="1" x14ac:dyDescent="0.25">
      <c r="A72" s="8"/>
      <c r="B72" s="663"/>
      <c r="C72" s="664"/>
      <c r="D72" s="664"/>
      <c r="E72" s="664"/>
      <c r="F72" s="664"/>
      <c r="G72" s="664"/>
      <c r="H72" s="664"/>
      <c r="I72" s="664"/>
      <c r="J72" s="664"/>
      <c r="K72" s="664"/>
      <c r="L72" s="665"/>
      <c r="M72" s="38"/>
      <c r="Q72" s="10"/>
    </row>
    <row r="73" spans="1:21" s="11" customFormat="1" x14ac:dyDescent="0.25">
      <c r="A73" s="8"/>
      <c r="B73" s="663"/>
      <c r="C73" s="664"/>
      <c r="D73" s="664"/>
      <c r="E73" s="664"/>
      <c r="F73" s="664"/>
      <c r="G73" s="664"/>
      <c r="H73" s="664"/>
      <c r="I73" s="664"/>
      <c r="J73" s="664"/>
      <c r="K73" s="664"/>
      <c r="L73" s="665"/>
      <c r="M73" s="38"/>
      <c r="Q73" s="10"/>
    </row>
    <row r="74" spans="1:21" s="11" customFormat="1" x14ac:dyDescent="0.25">
      <c r="A74" s="8"/>
      <c r="B74" s="663"/>
      <c r="C74" s="664"/>
      <c r="D74" s="664"/>
      <c r="E74" s="664"/>
      <c r="F74" s="664"/>
      <c r="G74" s="664"/>
      <c r="H74" s="664"/>
      <c r="I74" s="664"/>
      <c r="J74" s="664"/>
      <c r="K74" s="664"/>
      <c r="L74" s="665"/>
      <c r="M74" s="38"/>
      <c r="Q74" s="10"/>
    </row>
    <row r="75" spans="1:21" s="11" customFormat="1" x14ac:dyDescent="0.25">
      <c r="A75" s="8"/>
      <c r="B75" s="663"/>
      <c r="C75" s="664"/>
      <c r="D75" s="664"/>
      <c r="E75" s="664"/>
      <c r="F75" s="664"/>
      <c r="G75" s="664"/>
      <c r="H75" s="664"/>
      <c r="I75" s="664"/>
      <c r="J75" s="664"/>
      <c r="K75" s="664"/>
      <c r="L75" s="665"/>
      <c r="M75" s="38"/>
      <c r="Q75" s="10"/>
    </row>
    <row r="76" spans="1:21" s="11" customFormat="1" x14ac:dyDescent="0.25">
      <c r="A76" s="8"/>
      <c r="B76" s="663"/>
      <c r="C76" s="664"/>
      <c r="D76" s="664"/>
      <c r="E76" s="664"/>
      <c r="F76" s="664"/>
      <c r="G76" s="664"/>
      <c r="H76" s="664"/>
      <c r="I76" s="664"/>
      <c r="J76" s="664"/>
      <c r="K76" s="664"/>
      <c r="L76" s="665"/>
      <c r="M76" s="38"/>
      <c r="Q76" s="10"/>
    </row>
    <row r="77" spans="1:21" s="11" customFormat="1" x14ac:dyDescent="0.25">
      <c r="A77" s="8"/>
      <c r="B77" s="663"/>
      <c r="C77" s="664"/>
      <c r="D77" s="664"/>
      <c r="E77" s="664"/>
      <c r="F77" s="664"/>
      <c r="G77" s="664"/>
      <c r="H77" s="664"/>
      <c r="I77" s="664"/>
      <c r="J77" s="664"/>
      <c r="K77" s="664"/>
      <c r="L77" s="665"/>
      <c r="M77" s="38"/>
      <c r="Q77" s="10"/>
    </row>
    <row r="78" spans="1:21" s="38" customFormat="1" x14ac:dyDescent="0.25">
      <c r="A78" s="49"/>
      <c r="B78" s="50"/>
      <c r="C78" s="51"/>
      <c r="D78" s="51"/>
      <c r="E78" s="51"/>
      <c r="F78" s="51"/>
      <c r="G78" s="51"/>
      <c r="H78" s="51"/>
      <c r="I78" s="51"/>
      <c r="J78" s="51"/>
      <c r="K78" s="51"/>
      <c r="L78" s="52"/>
      <c r="O78" s="10"/>
      <c r="P78" s="10"/>
      <c r="Q78" s="10"/>
      <c r="R78" s="10"/>
      <c r="S78" s="10"/>
      <c r="T78" s="10"/>
      <c r="U78" s="10"/>
    </row>
    <row r="79" spans="1:21" s="6" customFormat="1" x14ac:dyDescent="0.25">
      <c r="A79" s="4"/>
      <c r="B79" s="14"/>
      <c r="C79" s="14"/>
      <c r="D79" s="3"/>
      <c r="E79" s="3"/>
      <c r="F79" s="3"/>
      <c r="G79" s="3"/>
      <c r="H79" s="3"/>
      <c r="I79" s="3"/>
      <c r="J79" s="3"/>
      <c r="K79" s="3"/>
      <c r="L79" s="3"/>
      <c r="O79" s="15"/>
      <c r="P79" s="15"/>
    </row>
    <row r="80" spans="1:21" x14ac:dyDescent="0.25">
      <c r="A80" s="7"/>
      <c r="B80" s="533" t="str">
        <f>IF(Intro!$G$20="English",O80,P80)</f>
        <v>INTERACTIONS AVEC LES PRODUCTEURS</v>
      </c>
      <c r="C80" s="534"/>
      <c r="D80" s="534"/>
      <c r="E80" s="534"/>
      <c r="F80" s="534"/>
      <c r="G80" s="534"/>
      <c r="H80" s="534"/>
      <c r="I80" s="534"/>
      <c r="J80" s="534"/>
      <c r="K80" s="534"/>
      <c r="L80" s="535"/>
      <c r="M80" s="38"/>
      <c r="O80" s="105" t="s">
        <v>319</v>
      </c>
      <c r="P80" s="105" t="s">
        <v>320</v>
      </c>
    </row>
    <row r="81" spans="1:21" s="11" customFormat="1" x14ac:dyDescent="0.25">
      <c r="A81" s="8"/>
      <c r="B81" s="671" t="s">
        <v>18</v>
      </c>
      <c r="C81" s="672"/>
      <c r="D81" s="672"/>
      <c r="E81" s="672"/>
      <c r="F81" s="672"/>
      <c r="G81" s="672"/>
      <c r="H81" s="672"/>
      <c r="I81" s="672"/>
      <c r="J81" s="672"/>
      <c r="K81" s="672"/>
      <c r="L81" s="673"/>
      <c r="M81" s="73"/>
    </row>
    <row r="82" spans="1:21" s="38" customFormat="1" x14ac:dyDescent="0.25">
      <c r="A82" s="49"/>
      <c r="B82" s="53"/>
      <c r="C82" s="93"/>
      <c r="D82" s="93"/>
      <c r="E82" s="93"/>
      <c r="F82" s="93"/>
      <c r="G82" s="93"/>
      <c r="H82" s="93"/>
      <c r="I82" s="93"/>
      <c r="J82" s="93"/>
      <c r="K82" s="93"/>
      <c r="L82" s="54"/>
      <c r="O82" s="10"/>
      <c r="P82" s="10"/>
      <c r="Q82" s="10"/>
      <c r="R82" s="10"/>
      <c r="S82" s="10"/>
      <c r="T82" s="10"/>
      <c r="U82" s="10"/>
    </row>
    <row r="83" spans="1:21" s="38" customFormat="1" x14ac:dyDescent="0.25">
      <c r="A83" s="49"/>
      <c r="B83" s="530" t="str">
        <f>IF(Intro!$G$20="English",O83,P83)</f>
        <v>Si votre entreprise a acheté des marchandises fabriquées par des producteurs canadiens depuis le 1er janvier 2023, fournissez les noms des producteurs canadiens, ainsi que les spécifications des marchandises achetées auprès des producteurs canadiens. Si ce n'est pas le cas, expliquez pourquoi.</v>
      </c>
      <c r="C83" s="531"/>
      <c r="D83" s="531"/>
      <c r="E83" s="531"/>
      <c r="F83" s="531"/>
      <c r="G83" s="531"/>
      <c r="H83" s="531"/>
      <c r="I83" s="531"/>
      <c r="J83" s="531"/>
      <c r="K83" s="531"/>
      <c r="L83" s="532"/>
      <c r="O83" s="10" t="str">
        <f>"If your firm has purchased the goods manufactured by Canadian producers since January 1, "&amp;Variables!B6&amp;", provide the names of the Canadian producers, as well as the specifications of the goods purchased from the Canadian producers. If not, explain why."</f>
        <v>If your firm has purchased the goods manufactured by Canadian producers since January 1, 2023, provide the names of the Canadian producers, as well as the specifications of the goods purchased from the Canadian producers. If not, explain why.</v>
      </c>
      <c r="P83" s="10" t="str">
        <f>"Si votre entreprise a acheté des marchandises fabriquées par des producteurs canadiens depuis le 1er janvier "&amp;Variables!B6&amp;", fournissez les noms des producteurs canadiens, ainsi que les spécifications des marchandises achetées auprès des producteurs canadiens. Si ce n'est pas le cas, expliquez pourquoi."</f>
        <v>Si votre entreprise a acheté des marchandises fabriquées par des producteurs canadiens depuis le 1er janvier 2023, fournissez les noms des producteurs canadiens, ainsi que les spécifications des marchandises achetées auprès des producteurs canadiens. Si ce n'est pas le cas, expliquez pourquoi.</v>
      </c>
      <c r="Q83" s="10"/>
      <c r="R83" s="10"/>
      <c r="S83" s="10"/>
      <c r="T83" s="10"/>
      <c r="U83" s="10"/>
    </row>
    <row r="84" spans="1:21" s="38" customFormat="1" x14ac:dyDescent="0.25">
      <c r="A84" s="49"/>
      <c r="B84" s="530"/>
      <c r="C84" s="531"/>
      <c r="D84" s="531"/>
      <c r="E84" s="531"/>
      <c r="F84" s="531"/>
      <c r="G84" s="531"/>
      <c r="H84" s="531"/>
      <c r="I84" s="531"/>
      <c r="J84" s="531"/>
      <c r="K84" s="531"/>
      <c r="L84" s="532"/>
      <c r="O84" s="10"/>
      <c r="P84" s="10"/>
      <c r="Q84" s="10"/>
      <c r="R84" s="10"/>
      <c r="S84" s="10"/>
      <c r="T84" s="10"/>
      <c r="U84" s="10"/>
    </row>
    <row r="85" spans="1:21" s="38" customFormat="1" x14ac:dyDescent="0.25">
      <c r="A85" s="49"/>
      <c r="B85" s="53"/>
      <c r="C85" s="93"/>
      <c r="D85" s="93"/>
      <c r="E85" s="93"/>
      <c r="F85" s="93"/>
      <c r="G85" s="93"/>
      <c r="H85" s="93"/>
      <c r="I85" s="93"/>
      <c r="J85" s="93"/>
      <c r="K85" s="93"/>
      <c r="L85" s="54"/>
      <c r="O85" s="10"/>
      <c r="P85" s="10"/>
      <c r="Q85" s="10"/>
      <c r="R85" s="10"/>
      <c r="S85" s="10"/>
      <c r="T85" s="10"/>
      <c r="U85" s="10"/>
    </row>
    <row r="86" spans="1:21" s="11" customFormat="1" x14ac:dyDescent="0.25">
      <c r="A86" s="8"/>
      <c r="B86" s="663"/>
      <c r="C86" s="664"/>
      <c r="D86" s="664"/>
      <c r="E86" s="664"/>
      <c r="F86" s="664"/>
      <c r="G86" s="664"/>
      <c r="H86" s="664"/>
      <c r="I86" s="664"/>
      <c r="J86" s="664"/>
      <c r="K86" s="664"/>
      <c r="L86" s="665"/>
      <c r="M86" s="38"/>
      <c r="Q86" s="10"/>
    </row>
    <row r="87" spans="1:21" s="11" customFormat="1" x14ac:dyDescent="0.25">
      <c r="A87" s="8"/>
      <c r="B87" s="663"/>
      <c r="C87" s="664"/>
      <c r="D87" s="664"/>
      <c r="E87" s="664"/>
      <c r="F87" s="664"/>
      <c r="G87" s="664"/>
      <c r="H87" s="664"/>
      <c r="I87" s="664"/>
      <c r="J87" s="664"/>
      <c r="K87" s="664"/>
      <c r="L87" s="665"/>
      <c r="M87" s="38"/>
      <c r="Q87" s="10"/>
    </row>
    <row r="88" spans="1:21" s="11" customFormat="1" x14ac:dyDescent="0.25">
      <c r="A88" s="8"/>
      <c r="B88" s="663"/>
      <c r="C88" s="664"/>
      <c r="D88" s="664"/>
      <c r="E88" s="664"/>
      <c r="F88" s="664"/>
      <c r="G88" s="664"/>
      <c r="H88" s="664"/>
      <c r="I88" s="664"/>
      <c r="J88" s="664"/>
      <c r="K88" s="664"/>
      <c r="L88" s="665"/>
      <c r="M88" s="38"/>
      <c r="Q88" s="10"/>
    </row>
    <row r="89" spans="1:21" s="11" customFormat="1" x14ac:dyDescent="0.25">
      <c r="A89" s="8"/>
      <c r="B89" s="663"/>
      <c r="C89" s="664"/>
      <c r="D89" s="664"/>
      <c r="E89" s="664"/>
      <c r="F89" s="664"/>
      <c r="G89" s="664"/>
      <c r="H89" s="664"/>
      <c r="I89" s="664"/>
      <c r="J89" s="664"/>
      <c r="K89" s="664"/>
      <c r="L89" s="665"/>
      <c r="M89" s="38"/>
      <c r="Q89" s="10"/>
    </row>
    <row r="90" spans="1:21" s="11" customFormat="1" x14ac:dyDescent="0.25">
      <c r="A90" s="8"/>
      <c r="B90" s="663"/>
      <c r="C90" s="664"/>
      <c r="D90" s="664"/>
      <c r="E90" s="664"/>
      <c r="F90" s="664"/>
      <c r="G90" s="664"/>
      <c r="H90" s="664"/>
      <c r="I90" s="664"/>
      <c r="J90" s="664"/>
      <c r="K90" s="664"/>
      <c r="L90" s="665"/>
      <c r="M90" s="38"/>
      <c r="Q90" s="10"/>
    </row>
    <row r="91" spans="1:21" s="11" customFormat="1" x14ac:dyDescent="0.25">
      <c r="A91" s="8"/>
      <c r="B91" s="663"/>
      <c r="C91" s="664"/>
      <c r="D91" s="664"/>
      <c r="E91" s="664"/>
      <c r="F91" s="664"/>
      <c r="G91" s="664"/>
      <c r="H91" s="664"/>
      <c r="I91" s="664"/>
      <c r="J91" s="664"/>
      <c r="K91" s="664"/>
      <c r="L91" s="665"/>
      <c r="M91" s="38"/>
      <c r="Q91" s="10"/>
    </row>
    <row r="92" spans="1:21" s="11" customFormat="1" x14ac:dyDescent="0.25">
      <c r="A92" s="8"/>
      <c r="B92" s="663"/>
      <c r="C92" s="664"/>
      <c r="D92" s="664"/>
      <c r="E92" s="664"/>
      <c r="F92" s="664"/>
      <c r="G92" s="664"/>
      <c r="H92" s="664"/>
      <c r="I92" s="664"/>
      <c r="J92" s="664"/>
      <c r="K92" s="664"/>
      <c r="L92" s="665"/>
      <c r="M92" s="38"/>
      <c r="Q92" s="10"/>
    </row>
    <row r="93" spans="1:21" s="11" customFormat="1" x14ac:dyDescent="0.25">
      <c r="A93" s="8"/>
      <c r="B93" s="663"/>
      <c r="C93" s="664"/>
      <c r="D93" s="664"/>
      <c r="E93" s="664"/>
      <c r="F93" s="664"/>
      <c r="G93" s="664"/>
      <c r="H93" s="664"/>
      <c r="I93" s="664"/>
      <c r="J93" s="664"/>
      <c r="K93" s="664"/>
      <c r="L93" s="665"/>
      <c r="M93" s="38"/>
      <c r="Q93" s="10"/>
    </row>
    <row r="94" spans="1:21" s="38" customFormat="1" x14ac:dyDescent="0.25">
      <c r="A94" s="49"/>
      <c r="B94" s="50"/>
      <c r="C94" s="51"/>
      <c r="D94" s="51"/>
      <c r="E94" s="51"/>
      <c r="F94" s="51"/>
      <c r="G94" s="51"/>
      <c r="H94" s="51"/>
      <c r="I94" s="51"/>
      <c r="J94" s="51"/>
      <c r="K94" s="51"/>
      <c r="L94" s="52"/>
      <c r="O94" s="10"/>
      <c r="P94" s="10"/>
      <c r="Q94" s="10"/>
      <c r="R94" s="10"/>
      <c r="S94" s="10"/>
      <c r="T94" s="10"/>
      <c r="U94" s="10"/>
    </row>
    <row r="95" spans="1:21" s="11" customFormat="1" x14ac:dyDescent="0.25">
      <c r="A95" s="8"/>
      <c r="B95" s="674" t="s">
        <v>19</v>
      </c>
      <c r="C95" s="675"/>
      <c r="D95" s="675"/>
      <c r="E95" s="675"/>
      <c r="F95" s="675"/>
      <c r="G95" s="675"/>
      <c r="H95" s="675"/>
      <c r="I95" s="675"/>
      <c r="J95" s="675"/>
      <c r="K95" s="675"/>
      <c r="L95" s="676"/>
      <c r="M95" s="73"/>
    </row>
    <row r="96" spans="1:21" s="38" customFormat="1" x14ac:dyDescent="0.25">
      <c r="A96" s="49"/>
      <c r="B96" s="53"/>
      <c r="C96" s="93"/>
      <c r="D96" s="93"/>
      <c r="E96" s="93"/>
      <c r="F96" s="93"/>
      <c r="G96" s="93"/>
      <c r="H96" s="93"/>
      <c r="I96" s="93"/>
      <c r="J96" s="93"/>
      <c r="K96" s="93"/>
      <c r="L96" s="54"/>
      <c r="O96" s="10"/>
      <c r="P96" s="10"/>
      <c r="Q96" s="10"/>
      <c r="R96" s="10"/>
      <c r="S96" s="10"/>
      <c r="T96" s="10"/>
      <c r="U96" s="10"/>
    </row>
    <row r="97" spans="1:21" s="38" customFormat="1" x14ac:dyDescent="0.25">
      <c r="A97" s="49"/>
      <c r="B97" s="530" t="str">
        <f>IF(Intro!$G$20="English",O97,P97)</f>
        <v>Si votre entreprise, en tant qu'importateur officiel, a vendu des importations de marchandises à des producteurs canadiens depuis le 1er janvier 2023, fournissez des détails concernant les spécifications des marchandises et les pays d'origine.</v>
      </c>
      <c r="C97" s="531"/>
      <c r="D97" s="531"/>
      <c r="E97" s="531"/>
      <c r="F97" s="531"/>
      <c r="G97" s="531"/>
      <c r="H97" s="531"/>
      <c r="I97" s="531"/>
      <c r="J97" s="531"/>
      <c r="K97" s="531"/>
      <c r="L97" s="532"/>
      <c r="O97" s="10" t="str">
        <f>"If your firm, as the importer of record, has sold imports of the goods to Canadian producers since January 1, "&amp;Variables!B6&amp;", provide details regarding the specifications of the goods and the countries of origin."</f>
        <v>If your firm, as the importer of record, has sold imports of the goods to Canadian producers since January 1, 2023, provide details regarding the specifications of the goods and the countries of origin.</v>
      </c>
      <c r="P97" s="10" t="str">
        <f>"Si votre entreprise, en tant qu'importateur officiel, a vendu des importations de marchandises à des producteurs canadiens depuis le 1er janvier "&amp;Variables!B6&amp;", fournissez des détails concernant les spécifications des marchandises et les pays d'origine."</f>
        <v>Si votre entreprise, en tant qu'importateur officiel, a vendu des importations de marchandises à des producteurs canadiens depuis le 1er janvier 2023, fournissez des détails concernant les spécifications des marchandises et les pays d'origine.</v>
      </c>
      <c r="Q97" s="10"/>
      <c r="R97" s="10"/>
      <c r="S97" s="10"/>
      <c r="T97" s="10"/>
      <c r="U97" s="10"/>
    </row>
    <row r="98" spans="1:21" s="38" customFormat="1" x14ac:dyDescent="0.25">
      <c r="A98" s="49"/>
      <c r="B98" s="530"/>
      <c r="C98" s="531"/>
      <c r="D98" s="531"/>
      <c r="E98" s="531"/>
      <c r="F98" s="531"/>
      <c r="G98" s="531"/>
      <c r="H98" s="531"/>
      <c r="I98" s="531"/>
      <c r="J98" s="531"/>
      <c r="K98" s="531"/>
      <c r="L98" s="532"/>
      <c r="O98" s="10"/>
      <c r="P98" s="10"/>
      <c r="Q98" s="10"/>
      <c r="R98" s="10"/>
      <c r="S98" s="10"/>
      <c r="T98" s="10"/>
      <c r="U98" s="10"/>
    </row>
    <row r="99" spans="1:21" s="38" customFormat="1" x14ac:dyDescent="0.25">
      <c r="A99" s="49"/>
      <c r="B99" s="53"/>
      <c r="C99" s="93"/>
      <c r="D99" s="93"/>
      <c r="E99" s="93"/>
      <c r="F99" s="93"/>
      <c r="G99" s="93"/>
      <c r="H99" s="93"/>
      <c r="I99" s="93"/>
      <c r="J99" s="93"/>
      <c r="K99" s="93"/>
      <c r="L99" s="54"/>
      <c r="O99" s="10"/>
      <c r="P99" s="10"/>
      <c r="Q99" s="10"/>
      <c r="R99" s="10"/>
      <c r="S99" s="10"/>
      <c r="T99" s="10"/>
      <c r="U99" s="10"/>
    </row>
    <row r="100" spans="1:21" s="11" customFormat="1" x14ac:dyDescent="0.25">
      <c r="A100" s="8"/>
      <c r="B100" s="663"/>
      <c r="C100" s="664"/>
      <c r="D100" s="664"/>
      <c r="E100" s="664"/>
      <c r="F100" s="664"/>
      <c r="G100" s="664"/>
      <c r="H100" s="664"/>
      <c r="I100" s="664"/>
      <c r="J100" s="664"/>
      <c r="K100" s="664"/>
      <c r="L100" s="665"/>
      <c r="M100" s="38"/>
      <c r="Q100" s="10"/>
    </row>
    <row r="101" spans="1:21" s="11" customFormat="1" x14ac:dyDescent="0.25">
      <c r="A101" s="8"/>
      <c r="B101" s="663"/>
      <c r="C101" s="664"/>
      <c r="D101" s="664"/>
      <c r="E101" s="664"/>
      <c r="F101" s="664"/>
      <c r="G101" s="664"/>
      <c r="H101" s="664"/>
      <c r="I101" s="664"/>
      <c r="J101" s="664"/>
      <c r="K101" s="664"/>
      <c r="L101" s="665"/>
      <c r="M101" s="38"/>
      <c r="Q101" s="10"/>
    </row>
    <row r="102" spans="1:21" s="11" customFormat="1" x14ac:dyDescent="0.25">
      <c r="A102" s="8"/>
      <c r="B102" s="663"/>
      <c r="C102" s="664"/>
      <c r="D102" s="664"/>
      <c r="E102" s="664"/>
      <c r="F102" s="664"/>
      <c r="G102" s="664"/>
      <c r="H102" s="664"/>
      <c r="I102" s="664"/>
      <c r="J102" s="664"/>
      <c r="K102" s="664"/>
      <c r="L102" s="665"/>
      <c r="M102" s="38"/>
      <c r="Q102" s="10"/>
    </row>
    <row r="103" spans="1:21" s="11" customFormat="1" x14ac:dyDescent="0.25">
      <c r="A103" s="8"/>
      <c r="B103" s="663"/>
      <c r="C103" s="664"/>
      <c r="D103" s="664"/>
      <c r="E103" s="664"/>
      <c r="F103" s="664"/>
      <c r="G103" s="664"/>
      <c r="H103" s="664"/>
      <c r="I103" s="664"/>
      <c r="J103" s="664"/>
      <c r="K103" s="664"/>
      <c r="L103" s="665"/>
      <c r="M103" s="38"/>
      <c r="Q103" s="10"/>
    </row>
    <row r="104" spans="1:21" s="11" customFormat="1" x14ac:dyDescent="0.25">
      <c r="A104" s="8"/>
      <c r="B104" s="663"/>
      <c r="C104" s="664"/>
      <c r="D104" s="664"/>
      <c r="E104" s="664"/>
      <c r="F104" s="664"/>
      <c r="G104" s="664"/>
      <c r="H104" s="664"/>
      <c r="I104" s="664"/>
      <c r="J104" s="664"/>
      <c r="K104" s="664"/>
      <c r="L104" s="665"/>
      <c r="M104" s="38"/>
      <c r="Q104" s="10"/>
    </row>
    <row r="105" spans="1:21" s="11" customFormat="1" x14ac:dyDescent="0.25">
      <c r="A105" s="8"/>
      <c r="B105" s="663"/>
      <c r="C105" s="664"/>
      <c r="D105" s="664"/>
      <c r="E105" s="664"/>
      <c r="F105" s="664"/>
      <c r="G105" s="664"/>
      <c r="H105" s="664"/>
      <c r="I105" s="664"/>
      <c r="J105" s="664"/>
      <c r="K105" s="664"/>
      <c r="L105" s="665"/>
      <c r="M105" s="38"/>
      <c r="Q105" s="10"/>
    </row>
    <row r="106" spans="1:21" s="11" customFormat="1" x14ac:dyDescent="0.25">
      <c r="A106" s="8"/>
      <c r="B106" s="663"/>
      <c r="C106" s="664"/>
      <c r="D106" s="664"/>
      <c r="E106" s="664"/>
      <c r="F106" s="664"/>
      <c r="G106" s="664"/>
      <c r="H106" s="664"/>
      <c r="I106" s="664"/>
      <c r="J106" s="664"/>
      <c r="K106" s="664"/>
      <c r="L106" s="665"/>
      <c r="M106" s="38"/>
      <c r="Q106" s="10"/>
    </row>
    <row r="107" spans="1:21" s="11" customFormat="1" x14ac:dyDescent="0.25">
      <c r="A107" s="8"/>
      <c r="B107" s="663"/>
      <c r="C107" s="664"/>
      <c r="D107" s="664"/>
      <c r="E107" s="664"/>
      <c r="F107" s="664"/>
      <c r="G107" s="664"/>
      <c r="H107" s="664"/>
      <c r="I107" s="664"/>
      <c r="J107" s="664"/>
      <c r="K107" s="664"/>
      <c r="L107" s="665"/>
      <c r="M107" s="38"/>
      <c r="Q107" s="10"/>
    </row>
    <row r="108" spans="1:21" s="38" customFormat="1" x14ac:dyDescent="0.25">
      <c r="A108" s="49"/>
      <c r="B108" s="50"/>
      <c r="C108" s="51"/>
      <c r="D108" s="51"/>
      <c r="E108" s="51"/>
      <c r="F108" s="51"/>
      <c r="G108" s="51"/>
      <c r="H108" s="51"/>
      <c r="I108" s="51"/>
      <c r="J108" s="51"/>
      <c r="K108" s="51"/>
      <c r="L108" s="52"/>
      <c r="O108" s="10"/>
      <c r="P108" s="10"/>
      <c r="Q108" s="10"/>
      <c r="R108" s="10"/>
      <c r="S108" s="10"/>
      <c r="T108" s="10"/>
      <c r="U108" s="10"/>
    </row>
    <row r="110" spans="1:21" x14ac:dyDescent="0.25">
      <c r="A110" s="7"/>
      <c r="B110" s="533" t="s">
        <v>321</v>
      </c>
      <c r="C110" s="534"/>
      <c r="D110" s="534"/>
      <c r="E110" s="534"/>
      <c r="F110" s="534"/>
      <c r="G110" s="534"/>
      <c r="H110" s="534"/>
      <c r="I110" s="534"/>
      <c r="J110" s="534"/>
      <c r="K110" s="534"/>
      <c r="L110" s="535"/>
      <c r="M110" s="38"/>
    </row>
    <row r="111" spans="1:21" s="11" customFormat="1" x14ac:dyDescent="0.25">
      <c r="A111" s="8"/>
      <c r="B111" s="674" t="s">
        <v>20</v>
      </c>
      <c r="C111" s="675"/>
      <c r="D111" s="675"/>
      <c r="E111" s="675"/>
      <c r="F111" s="675"/>
      <c r="G111" s="675"/>
      <c r="H111" s="675"/>
      <c r="I111" s="675"/>
      <c r="J111" s="675"/>
      <c r="K111" s="675"/>
      <c r="L111" s="676"/>
      <c r="M111" s="73"/>
    </row>
    <row r="112" spans="1:21" s="38" customFormat="1" x14ac:dyDescent="0.25">
      <c r="A112" s="49"/>
      <c r="B112" s="53"/>
      <c r="C112" s="93"/>
      <c r="D112" s="93"/>
      <c r="E112" s="93"/>
      <c r="F112" s="93"/>
      <c r="G112" s="93"/>
      <c r="H112" s="93"/>
      <c r="I112" s="93"/>
      <c r="J112" s="93"/>
      <c r="K112" s="93"/>
      <c r="L112" s="54"/>
      <c r="O112" s="10"/>
      <c r="P112" s="10"/>
      <c r="Q112" s="10"/>
      <c r="R112" s="10"/>
      <c r="S112" s="10"/>
      <c r="T112" s="10"/>
      <c r="U112" s="10"/>
    </row>
    <row r="113" spans="1:21" s="38" customFormat="1" x14ac:dyDescent="0.25">
      <c r="A113" s="49"/>
      <c r="B113" s="654" t="str">
        <f>IF(Intro!$G$20="English",O113,P113)</f>
        <v>Fournissez des détails si votre entreprise a modifié la gamme de marchandises qu'elle a importé depuis le 1er janvier 2023.</v>
      </c>
      <c r="C113" s="655"/>
      <c r="D113" s="655"/>
      <c r="E113" s="655"/>
      <c r="F113" s="655"/>
      <c r="G113" s="655"/>
      <c r="H113" s="655"/>
      <c r="I113" s="655"/>
      <c r="J113" s="655"/>
      <c r="K113" s="655"/>
      <c r="L113" s="656"/>
      <c r="O113" s="10" t="str">
        <f>"Provide details if your firm changed the product mix of the goods it has imported since January 1, "&amp;Variables!B6&amp;"."</f>
        <v>Provide details if your firm changed the product mix of the goods it has imported since January 1, 2023.</v>
      </c>
      <c r="P113" s="10" t="str">
        <f>"Fournissez des détails si votre entreprise a modifié la gamme de marchandises qu'elle a importé depuis le 1er janvier "&amp;Variables!B6&amp;"."</f>
        <v>Fournissez des détails si votre entreprise a modifié la gamme de marchandises qu'elle a importé depuis le 1er janvier 2023.</v>
      </c>
      <c r="Q113" s="10"/>
      <c r="R113" s="10"/>
      <c r="S113" s="10"/>
      <c r="T113" s="10"/>
      <c r="U113" s="10"/>
    </row>
    <row r="114" spans="1:21" s="38" customFormat="1" x14ac:dyDescent="0.25">
      <c r="A114" s="49"/>
      <c r="B114" s="53"/>
      <c r="C114" s="93"/>
      <c r="D114" s="93"/>
      <c r="E114" s="93"/>
      <c r="F114" s="93"/>
      <c r="G114" s="93"/>
      <c r="H114" s="93"/>
      <c r="I114" s="93"/>
      <c r="J114" s="93"/>
      <c r="K114" s="93"/>
      <c r="L114" s="54"/>
      <c r="O114" s="10"/>
      <c r="P114" s="10"/>
      <c r="Q114" s="10"/>
      <c r="R114" s="10"/>
      <c r="S114" s="10"/>
      <c r="T114" s="10"/>
      <c r="U114" s="10"/>
    </row>
    <row r="115" spans="1:21" s="11" customFormat="1" x14ac:dyDescent="0.25">
      <c r="A115" s="8"/>
      <c r="B115" s="663"/>
      <c r="C115" s="664"/>
      <c r="D115" s="664"/>
      <c r="E115" s="664"/>
      <c r="F115" s="664"/>
      <c r="G115" s="664"/>
      <c r="H115" s="664"/>
      <c r="I115" s="664"/>
      <c r="J115" s="664"/>
      <c r="K115" s="664"/>
      <c r="L115" s="665"/>
      <c r="M115" s="38"/>
      <c r="Q115" s="10"/>
    </row>
    <row r="116" spans="1:21" s="11" customFormat="1" x14ac:dyDescent="0.25">
      <c r="A116" s="8"/>
      <c r="B116" s="663"/>
      <c r="C116" s="664"/>
      <c r="D116" s="664"/>
      <c r="E116" s="664"/>
      <c r="F116" s="664"/>
      <c r="G116" s="664"/>
      <c r="H116" s="664"/>
      <c r="I116" s="664"/>
      <c r="J116" s="664"/>
      <c r="K116" s="664"/>
      <c r="L116" s="665"/>
      <c r="M116" s="38"/>
      <c r="Q116" s="10"/>
    </row>
    <row r="117" spans="1:21" s="11" customFormat="1" x14ac:dyDescent="0.25">
      <c r="A117" s="8"/>
      <c r="B117" s="663"/>
      <c r="C117" s="664"/>
      <c r="D117" s="664"/>
      <c r="E117" s="664"/>
      <c r="F117" s="664"/>
      <c r="G117" s="664"/>
      <c r="H117" s="664"/>
      <c r="I117" s="664"/>
      <c r="J117" s="664"/>
      <c r="K117" s="664"/>
      <c r="L117" s="665"/>
      <c r="M117" s="38"/>
      <c r="Q117" s="10"/>
    </row>
    <row r="118" spans="1:21" s="11" customFormat="1" x14ac:dyDescent="0.25">
      <c r="A118" s="8"/>
      <c r="B118" s="663"/>
      <c r="C118" s="664"/>
      <c r="D118" s="664"/>
      <c r="E118" s="664"/>
      <c r="F118" s="664"/>
      <c r="G118" s="664"/>
      <c r="H118" s="664"/>
      <c r="I118" s="664"/>
      <c r="J118" s="664"/>
      <c r="K118" s="664"/>
      <c r="L118" s="665"/>
      <c r="M118" s="38"/>
      <c r="Q118" s="10"/>
    </row>
    <row r="119" spans="1:21" s="11" customFormat="1" x14ac:dyDescent="0.25">
      <c r="A119" s="8"/>
      <c r="B119" s="663"/>
      <c r="C119" s="664"/>
      <c r="D119" s="664"/>
      <c r="E119" s="664"/>
      <c r="F119" s="664"/>
      <c r="G119" s="664"/>
      <c r="H119" s="664"/>
      <c r="I119" s="664"/>
      <c r="J119" s="664"/>
      <c r="K119" s="664"/>
      <c r="L119" s="665"/>
      <c r="M119" s="38"/>
      <c r="Q119" s="10"/>
    </row>
    <row r="120" spans="1:21" s="11" customFormat="1" x14ac:dyDescent="0.25">
      <c r="A120" s="8"/>
      <c r="B120" s="663"/>
      <c r="C120" s="664"/>
      <c r="D120" s="664"/>
      <c r="E120" s="664"/>
      <c r="F120" s="664"/>
      <c r="G120" s="664"/>
      <c r="H120" s="664"/>
      <c r="I120" s="664"/>
      <c r="J120" s="664"/>
      <c r="K120" s="664"/>
      <c r="L120" s="665"/>
      <c r="M120" s="38"/>
      <c r="Q120" s="10"/>
    </row>
    <row r="121" spans="1:21" s="11" customFormat="1" x14ac:dyDescent="0.25">
      <c r="A121" s="8"/>
      <c r="B121" s="663"/>
      <c r="C121" s="664"/>
      <c r="D121" s="664"/>
      <c r="E121" s="664"/>
      <c r="F121" s="664"/>
      <c r="G121" s="664"/>
      <c r="H121" s="664"/>
      <c r="I121" s="664"/>
      <c r="J121" s="664"/>
      <c r="K121" s="664"/>
      <c r="L121" s="665"/>
      <c r="M121" s="38"/>
      <c r="Q121" s="10"/>
    </row>
    <row r="122" spans="1:21" s="11" customFormat="1" x14ac:dyDescent="0.25">
      <c r="A122" s="8"/>
      <c r="B122" s="663"/>
      <c r="C122" s="664"/>
      <c r="D122" s="664"/>
      <c r="E122" s="664"/>
      <c r="F122" s="664"/>
      <c r="G122" s="664"/>
      <c r="H122" s="664"/>
      <c r="I122" s="664"/>
      <c r="J122" s="664"/>
      <c r="K122" s="664"/>
      <c r="L122" s="665"/>
      <c r="M122" s="38"/>
      <c r="Q122" s="10"/>
    </row>
    <row r="123" spans="1:21" s="38" customFormat="1" x14ac:dyDescent="0.25">
      <c r="A123" s="49"/>
      <c r="B123" s="50"/>
      <c r="C123" s="51"/>
      <c r="D123" s="51"/>
      <c r="E123" s="51"/>
      <c r="F123" s="51"/>
      <c r="G123" s="51"/>
      <c r="H123" s="51"/>
      <c r="I123" s="51"/>
      <c r="J123" s="51"/>
      <c r="K123" s="51"/>
      <c r="L123" s="52"/>
      <c r="O123" s="10"/>
      <c r="P123" s="10"/>
      <c r="Q123" s="10"/>
      <c r="R123" s="10"/>
      <c r="S123" s="10"/>
      <c r="T123" s="10"/>
      <c r="U123" s="10"/>
    </row>
    <row r="124" spans="1:21" s="11" customFormat="1" x14ac:dyDescent="0.25">
      <c r="A124" s="7"/>
      <c r="B124" s="674" t="s">
        <v>21</v>
      </c>
      <c r="C124" s="675"/>
      <c r="D124" s="675"/>
      <c r="E124" s="675"/>
      <c r="F124" s="675"/>
      <c r="G124" s="675"/>
      <c r="H124" s="675"/>
      <c r="I124" s="675"/>
      <c r="J124" s="675"/>
      <c r="K124" s="675"/>
      <c r="L124" s="676"/>
      <c r="M124" s="73"/>
    </row>
    <row r="125" spans="1:21" s="38" customFormat="1" x14ac:dyDescent="0.25">
      <c r="A125" s="94"/>
      <c r="B125" s="53"/>
      <c r="C125" s="93"/>
      <c r="D125" s="93"/>
      <c r="E125" s="93"/>
      <c r="F125" s="93"/>
      <c r="G125" s="93"/>
      <c r="H125" s="93"/>
      <c r="I125" s="93"/>
      <c r="J125" s="93"/>
      <c r="K125" s="93"/>
      <c r="L125" s="54"/>
      <c r="O125" s="10"/>
      <c r="P125" s="10"/>
      <c r="Q125" s="10"/>
      <c r="R125" s="10"/>
      <c r="S125" s="10"/>
      <c r="T125" s="10"/>
      <c r="U125" s="10"/>
    </row>
    <row r="126" spans="1:21" s="38" customFormat="1" x14ac:dyDescent="0.25">
      <c r="A126" s="94"/>
      <c r="B126" s="654" t="str">
        <f>IF(Intro!$G$20="English",O126,P126)</f>
        <v>Décrivez comment les coûts de livraison des marchandises achetées par votre entreprise sont payés.</v>
      </c>
      <c r="C126" s="655"/>
      <c r="D126" s="655"/>
      <c r="E126" s="655"/>
      <c r="F126" s="655"/>
      <c r="G126" s="655"/>
      <c r="H126" s="655"/>
      <c r="I126" s="655"/>
      <c r="J126" s="655"/>
      <c r="K126" s="655"/>
      <c r="L126" s="656"/>
      <c r="O126" s="10" t="s">
        <v>157</v>
      </c>
      <c r="P126" s="10" t="s">
        <v>209</v>
      </c>
      <c r="Q126" s="10"/>
      <c r="R126" s="10"/>
      <c r="S126" s="10"/>
      <c r="T126" s="10"/>
      <c r="U126" s="10"/>
    </row>
    <row r="127" spans="1:21" s="38" customFormat="1" x14ac:dyDescent="0.25">
      <c r="A127" s="94"/>
      <c r="B127" s="53"/>
      <c r="C127" s="93"/>
      <c r="D127" s="93"/>
      <c r="E127" s="93"/>
      <c r="F127" s="93"/>
      <c r="G127" s="93"/>
      <c r="H127" s="203" t="str">
        <f>IF(Intro!$G$20="English",O127,P127)</f>
        <v>Sélectionnez toutes les réponses qui s'appliquent</v>
      </c>
      <c r="I127" s="93"/>
      <c r="J127" s="93"/>
      <c r="K127" s="93"/>
      <c r="L127" s="54"/>
      <c r="O127" s="10" t="s">
        <v>459</v>
      </c>
      <c r="P127" s="10" t="s">
        <v>460</v>
      </c>
      <c r="Q127" s="10"/>
      <c r="R127" s="10"/>
      <c r="S127" s="10"/>
      <c r="T127" s="10"/>
      <c r="U127" s="10"/>
    </row>
    <row r="128" spans="1:21" x14ac:dyDescent="0.25">
      <c r="A128" s="7"/>
      <c r="B128" s="680" t="str">
        <f>IF(Intro!$G$20="English",O128,P128)</f>
        <v>L'exportateur s'occupe de la livraison et les frais de livraison sont inclus dans le prix de vente.</v>
      </c>
      <c r="C128" s="681"/>
      <c r="D128" s="681"/>
      <c r="E128" s="681"/>
      <c r="F128" s="681"/>
      <c r="G128" s="682"/>
      <c r="H128" s="123"/>
      <c r="I128" s="93"/>
      <c r="J128" s="93"/>
      <c r="K128" s="93"/>
      <c r="L128" s="54"/>
      <c r="M128" s="10"/>
      <c r="O128" s="10" t="s">
        <v>390</v>
      </c>
      <c r="P128" s="153" t="s">
        <v>392</v>
      </c>
    </row>
    <row r="129" spans="1:21" x14ac:dyDescent="0.25">
      <c r="A129" s="7"/>
      <c r="B129" s="680" t="str">
        <f>IF(Intro!$G$20="English",O129,P129)</f>
        <v>L'exportateur s'occupe de la livraison mais les frais de livraison sont facturés séparément à votre entreprise.</v>
      </c>
      <c r="C129" s="681"/>
      <c r="D129" s="681"/>
      <c r="E129" s="681"/>
      <c r="F129" s="681"/>
      <c r="G129" s="682"/>
      <c r="H129" s="123"/>
      <c r="I129" s="93"/>
      <c r="J129" s="93"/>
      <c r="K129" s="93"/>
      <c r="L129" s="54"/>
      <c r="M129" s="10"/>
      <c r="O129" s="10" t="s">
        <v>391</v>
      </c>
      <c r="P129" s="153" t="s">
        <v>394</v>
      </c>
    </row>
    <row r="130" spans="1:21" x14ac:dyDescent="0.25">
      <c r="A130" s="7"/>
      <c r="B130" s="680" t="str">
        <f>IF(Intro!$G$20="English",O130,P130)</f>
        <v>La livraison et ses frais sont pris en charge par votre entreprise.</v>
      </c>
      <c r="C130" s="681"/>
      <c r="D130" s="681"/>
      <c r="E130" s="681"/>
      <c r="F130" s="681"/>
      <c r="G130" s="682"/>
      <c r="H130" s="123"/>
      <c r="I130" s="93"/>
      <c r="J130" s="93"/>
      <c r="K130" s="93"/>
      <c r="L130" s="54"/>
      <c r="M130" s="10"/>
      <c r="O130" s="10" t="s">
        <v>418</v>
      </c>
      <c r="P130" s="153" t="s">
        <v>393</v>
      </c>
    </row>
    <row r="131" spans="1:21" s="38" customFormat="1" x14ac:dyDescent="0.25">
      <c r="A131" s="94"/>
      <c r="B131" s="53"/>
      <c r="C131" s="93"/>
      <c r="D131" s="93"/>
      <c r="E131" s="93"/>
      <c r="F131" s="93"/>
      <c r="G131" s="93"/>
      <c r="H131" s="93"/>
      <c r="I131" s="93"/>
      <c r="J131" s="93"/>
      <c r="K131" s="93"/>
      <c r="L131" s="54"/>
      <c r="O131" s="10"/>
      <c r="P131" s="10"/>
      <c r="Q131" s="10"/>
      <c r="R131" s="10"/>
      <c r="S131" s="10"/>
      <c r="T131" s="10"/>
      <c r="U131" s="10"/>
    </row>
    <row r="132" spans="1:21" s="38" customFormat="1" x14ac:dyDescent="0.25">
      <c r="A132" s="94"/>
      <c r="B132" s="654" t="str">
        <f>IF(Intro!$G$20="English",O132,P132)</f>
        <v>Fournissez des détails si les frais de livraison payés par votre entreprise ont changé depuis le 1er janvier 2023.</v>
      </c>
      <c r="C132" s="655"/>
      <c r="D132" s="655"/>
      <c r="E132" s="655"/>
      <c r="F132" s="655"/>
      <c r="G132" s="655"/>
      <c r="H132" s="655"/>
      <c r="I132" s="655"/>
      <c r="J132" s="655"/>
      <c r="K132" s="655"/>
      <c r="L132" s="656"/>
      <c r="O132" s="10" t="str">
        <f>"Provide details if delivery charges paid by your firm have changed since January 1, "&amp;Variables!B6&amp;"."</f>
        <v>Provide details if delivery charges paid by your firm have changed since January 1, 2023.</v>
      </c>
      <c r="P132" s="10" t="str">
        <f>"Fournissez des détails si les frais de livraison payés par votre entreprise ont changé depuis le 1er janvier "&amp;Variables!B6&amp;"."</f>
        <v>Fournissez des détails si les frais de livraison payés par votre entreprise ont changé depuis le 1er janvier 2023.</v>
      </c>
      <c r="Q132" s="10"/>
      <c r="R132" s="10"/>
      <c r="S132" s="10"/>
      <c r="T132" s="10"/>
      <c r="U132" s="10"/>
    </row>
    <row r="133" spans="1:21" s="38" customFormat="1" x14ac:dyDescent="0.25">
      <c r="A133" s="94"/>
      <c r="B133" s="53"/>
      <c r="C133" s="93"/>
      <c r="D133" s="93"/>
      <c r="E133" s="93"/>
      <c r="F133" s="93"/>
      <c r="G133" s="93"/>
      <c r="H133" s="93"/>
      <c r="I133" s="93"/>
      <c r="J133" s="93"/>
      <c r="K133" s="93"/>
      <c r="L133" s="54"/>
      <c r="O133" s="10"/>
      <c r="P133" s="10"/>
      <c r="Q133" s="10"/>
      <c r="R133" s="10"/>
      <c r="S133" s="10"/>
      <c r="T133" s="10"/>
      <c r="U133" s="10"/>
    </row>
    <row r="134" spans="1:21" s="11" customFormat="1" x14ac:dyDescent="0.25">
      <c r="A134" s="8"/>
      <c r="B134" s="663"/>
      <c r="C134" s="664"/>
      <c r="D134" s="664"/>
      <c r="E134" s="664"/>
      <c r="F134" s="664"/>
      <c r="G134" s="664"/>
      <c r="H134" s="664"/>
      <c r="I134" s="664"/>
      <c r="J134" s="664"/>
      <c r="K134" s="664"/>
      <c r="L134" s="665"/>
      <c r="M134" s="38"/>
      <c r="Q134" s="10"/>
    </row>
    <row r="135" spans="1:21" s="11" customFormat="1" x14ac:dyDescent="0.25">
      <c r="A135" s="8"/>
      <c r="B135" s="663"/>
      <c r="C135" s="664"/>
      <c r="D135" s="664"/>
      <c r="E135" s="664"/>
      <c r="F135" s="664"/>
      <c r="G135" s="664"/>
      <c r="H135" s="664"/>
      <c r="I135" s="664"/>
      <c r="J135" s="664"/>
      <c r="K135" s="664"/>
      <c r="L135" s="665"/>
      <c r="M135" s="38"/>
      <c r="Q135" s="10"/>
    </row>
    <row r="136" spans="1:21" s="11" customFormat="1" x14ac:dyDescent="0.25">
      <c r="A136" s="8"/>
      <c r="B136" s="663"/>
      <c r="C136" s="664"/>
      <c r="D136" s="664"/>
      <c r="E136" s="664"/>
      <c r="F136" s="664"/>
      <c r="G136" s="664"/>
      <c r="H136" s="664"/>
      <c r="I136" s="664"/>
      <c r="J136" s="664"/>
      <c r="K136" s="664"/>
      <c r="L136" s="665"/>
      <c r="M136" s="38"/>
      <c r="Q136" s="10"/>
    </row>
    <row r="137" spans="1:21" s="11" customFormat="1" x14ac:dyDescent="0.25">
      <c r="A137" s="8"/>
      <c r="B137" s="663"/>
      <c r="C137" s="664"/>
      <c r="D137" s="664"/>
      <c r="E137" s="664"/>
      <c r="F137" s="664"/>
      <c r="G137" s="664"/>
      <c r="H137" s="664"/>
      <c r="I137" s="664"/>
      <c r="J137" s="664"/>
      <c r="K137" s="664"/>
      <c r="L137" s="665"/>
      <c r="M137" s="38"/>
      <c r="Q137" s="10"/>
    </row>
    <row r="138" spans="1:21" s="11" customFormat="1" x14ac:dyDescent="0.25">
      <c r="A138" s="8"/>
      <c r="B138" s="663"/>
      <c r="C138" s="664"/>
      <c r="D138" s="664"/>
      <c r="E138" s="664"/>
      <c r="F138" s="664"/>
      <c r="G138" s="664"/>
      <c r="H138" s="664"/>
      <c r="I138" s="664"/>
      <c r="J138" s="664"/>
      <c r="K138" s="664"/>
      <c r="L138" s="665"/>
      <c r="M138" s="38"/>
      <c r="Q138" s="10"/>
    </row>
    <row r="139" spans="1:21" s="11" customFormat="1" x14ac:dyDescent="0.25">
      <c r="A139" s="8"/>
      <c r="B139" s="663"/>
      <c r="C139" s="664"/>
      <c r="D139" s="664"/>
      <c r="E139" s="664"/>
      <c r="F139" s="664"/>
      <c r="G139" s="664"/>
      <c r="H139" s="664"/>
      <c r="I139" s="664"/>
      <c r="J139" s="664"/>
      <c r="K139" s="664"/>
      <c r="L139" s="665"/>
      <c r="M139" s="38"/>
      <c r="Q139" s="10"/>
    </row>
    <row r="140" spans="1:21" s="11" customFormat="1" x14ac:dyDescent="0.25">
      <c r="A140" s="8"/>
      <c r="B140" s="663"/>
      <c r="C140" s="664"/>
      <c r="D140" s="664"/>
      <c r="E140" s="664"/>
      <c r="F140" s="664"/>
      <c r="G140" s="664"/>
      <c r="H140" s="664"/>
      <c r="I140" s="664"/>
      <c r="J140" s="664"/>
      <c r="K140" s="664"/>
      <c r="L140" s="665"/>
      <c r="M140" s="38"/>
      <c r="Q140" s="10"/>
    </row>
    <row r="141" spans="1:21" s="11" customFormat="1" x14ac:dyDescent="0.25">
      <c r="A141" s="8"/>
      <c r="B141" s="663"/>
      <c r="C141" s="664"/>
      <c r="D141" s="664"/>
      <c r="E141" s="664"/>
      <c r="F141" s="664"/>
      <c r="G141" s="664"/>
      <c r="H141" s="664"/>
      <c r="I141" s="664"/>
      <c r="J141" s="664"/>
      <c r="K141" s="664"/>
      <c r="L141" s="665"/>
      <c r="M141" s="38"/>
      <c r="Q141" s="10"/>
    </row>
    <row r="142" spans="1:21" s="38" customFormat="1" x14ac:dyDescent="0.25">
      <c r="A142" s="94"/>
      <c r="B142" s="50"/>
      <c r="C142" s="51"/>
      <c r="D142" s="51"/>
      <c r="E142" s="51"/>
      <c r="F142" s="51"/>
      <c r="G142" s="51"/>
      <c r="H142" s="51"/>
      <c r="I142" s="51"/>
      <c r="J142" s="51"/>
      <c r="K142" s="51"/>
      <c r="L142" s="52"/>
      <c r="O142" s="10"/>
      <c r="P142" s="10"/>
      <c r="Q142" s="10"/>
      <c r="R142" s="10"/>
      <c r="S142" s="10"/>
      <c r="T142" s="10"/>
      <c r="U142" s="10"/>
    </row>
    <row r="144" spans="1:21" x14ac:dyDescent="0.25">
      <c r="B144" s="533" t="str">
        <f>IF(Intro!$G$20="English",O144,P144)</f>
        <v>CARACTÉRISTIQUES DU MARCHÉ DES MARCHANDISES</v>
      </c>
      <c r="C144" s="534"/>
      <c r="D144" s="534"/>
      <c r="E144" s="534"/>
      <c r="F144" s="534"/>
      <c r="G144" s="534"/>
      <c r="H144" s="534"/>
      <c r="I144" s="534"/>
      <c r="J144" s="534"/>
      <c r="K144" s="534"/>
      <c r="L144" s="535"/>
      <c r="M144" s="38"/>
      <c r="O144" s="105" t="s">
        <v>322</v>
      </c>
      <c r="P144" s="105" t="s">
        <v>323</v>
      </c>
    </row>
    <row r="145" spans="1:21" s="11" customFormat="1" x14ac:dyDescent="0.25">
      <c r="A145" s="8"/>
      <c r="B145" s="671" t="s">
        <v>22</v>
      </c>
      <c r="C145" s="672"/>
      <c r="D145" s="672"/>
      <c r="E145" s="672"/>
      <c r="F145" s="672"/>
      <c r="G145" s="672"/>
      <c r="H145" s="672"/>
      <c r="I145" s="672"/>
      <c r="J145" s="672"/>
      <c r="K145" s="672"/>
      <c r="L145" s="673"/>
      <c r="M145" s="73"/>
    </row>
    <row r="146" spans="1:21" s="38" customFormat="1" x14ac:dyDescent="0.25">
      <c r="A146" s="49"/>
      <c r="B146" s="53"/>
      <c r="C146" s="93"/>
      <c r="D146" s="93"/>
      <c r="E146" s="93"/>
      <c r="F146" s="93"/>
      <c r="G146" s="93"/>
      <c r="H146" s="93"/>
      <c r="I146" s="93"/>
      <c r="J146" s="93"/>
      <c r="K146" s="93"/>
      <c r="L146" s="54"/>
      <c r="O146" s="10"/>
      <c r="P146" s="10"/>
      <c r="Q146" s="10"/>
      <c r="R146" s="10"/>
      <c r="S146" s="10"/>
      <c r="T146" s="10"/>
      <c r="U146" s="10"/>
    </row>
    <row r="147" spans="1:21" s="38" customFormat="1" x14ac:dyDescent="0.25">
      <c r="A147" s="49"/>
      <c r="B147" s="654" t="str">
        <f>IF(Intro!$G$20="English",O147,P147)</f>
        <v>Indiquez dans quels segments de marché ces marchandises sont vendues.</v>
      </c>
      <c r="C147" s="655"/>
      <c r="D147" s="655"/>
      <c r="E147" s="655"/>
      <c r="F147" s="655"/>
      <c r="G147" s="655"/>
      <c r="H147" s="655"/>
      <c r="I147" s="655"/>
      <c r="J147" s="655"/>
      <c r="K147" s="655"/>
      <c r="L147" s="656"/>
      <c r="O147" s="10" t="s">
        <v>165</v>
      </c>
      <c r="P147" s="10" t="s">
        <v>406</v>
      </c>
      <c r="Q147" s="10"/>
      <c r="R147" s="10"/>
      <c r="S147" s="10"/>
      <c r="T147" s="10"/>
      <c r="U147" s="10"/>
    </row>
    <row r="148" spans="1:21" s="38" customFormat="1" x14ac:dyDescent="0.25">
      <c r="A148" s="49"/>
      <c r="B148" s="53"/>
      <c r="C148" s="93"/>
      <c r="D148" s="93"/>
      <c r="E148" s="93"/>
      <c r="F148" s="93"/>
      <c r="G148" s="93"/>
      <c r="H148" s="93"/>
      <c r="I148" s="93"/>
      <c r="J148" s="93"/>
      <c r="K148" s="93"/>
      <c r="L148" s="54"/>
      <c r="O148" s="10"/>
      <c r="P148" s="10"/>
      <c r="Q148" s="10"/>
      <c r="R148" s="10"/>
      <c r="S148" s="10"/>
      <c r="T148" s="10"/>
      <c r="U148" s="10"/>
    </row>
    <row r="149" spans="1:21" x14ac:dyDescent="0.25">
      <c r="B149" s="567" t="str">
        <f>IF(Intro!$G$20="English",O149,P149)</f>
        <v>Segment de marché 1</v>
      </c>
      <c r="C149" s="568"/>
      <c r="D149" s="589"/>
      <c r="E149" s="589"/>
      <c r="F149" s="589"/>
      <c r="G149" s="589"/>
      <c r="H149" s="589"/>
      <c r="I149" s="589"/>
      <c r="J149" s="589"/>
      <c r="K149" s="589"/>
      <c r="L149" s="590"/>
      <c r="M149" s="10"/>
      <c r="O149" s="10" t="s">
        <v>159</v>
      </c>
      <c r="P149" s="10" t="s">
        <v>160</v>
      </c>
    </row>
    <row r="150" spans="1:21" x14ac:dyDescent="0.25">
      <c r="B150" s="567"/>
      <c r="C150" s="568"/>
      <c r="D150" s="589"/>
      <c r="E150" s="589"/>
      <c r="F150" s="589"/>
      <c r="G150" s="589"/>
      <c r="H150" s="589"/>
      <c r="I150" s="589"/>
      <c r="J150" s="589"/>
      <c r="K150" s="589"/>
      <c r="L150" s="590"/>
      <c r="M150" s="10"/>
    </row>
    <row r="151" spans="1:21" x14ac:dyDescent="0.25">
      <c r="B151" s="567"/>
      <c r="C151" s="568"/>
      <c r="D151" s="589"/>
      <c r="E151" s="589"/>
      <c r="F151" s="589"/>
      <c r="G151" s="589"/>
      <c r="H151" s="589"/>
      <c r="I151" s="589"/>
      <c r="J151" s="589"/>
      <c r="K151" s="589"/>
      <c r="L151" s="590"/>
      <c r="M151" s="10"/>
    </row>
    <row r="152" spans="1:21" x14ac:dyDescent="0.25">
      <c r="B152" s="567"/>
      <c r="C152" s="568"/>
      <c r="D152" s="589"/>
      <c r="E152" s="589"/>
      <c r="F152" s="589"/>
      <c r="G152" s="589"/>
      <c r="H152" s="589"/>
      <c r="I152" s="589"/>
      <c r="J152" s="589"/>
      <c r="K152" s="589"/>
      <c r="L152" s="590"/>
      <c r="M152" s="10"/>
    </row>
    <row r="153" spans="1:21" x14ac:dyDescent="0.25">
      <c r="B153" s="567"/>
      <c r="C153" s="568"/>
      <c r="D153" s="589"/>
      <c r="E153" s="589"/>
      <c r="F153" s="589"/>
      <c r="G153" s="589"/>
      <c r="H153" s="589"/>
      <c r="I153" s="589"/>
      <c r="J153" s="589"/>
      <c r="K153" s="589"/>
      <c r="L153" s="590"/>
      <c r="M153" s="10"/>
    </row>
    <row r="154" spans="1:21" x14ac:dyDescent="0.25">
      <c r="B154" s="567" t="str">
        <f>IF(Intro!$G$20="English",O154,P154)</f>
        <v>Segment de marché 2</v>
      </c>
      <c r="C154" s="568"/>
      <c r="D154" s="589"/>
      <c r="E154" s="589"/>
      <c r="F154" s="589"/>
      <c r="G154" s="589"/>
      <c r="H154" s="589"/>
      <c r="I154" s="589"/>
      <c r="J154" s="589"/>
      <c r="K154" s="589"/>
      <c r="L154" s="590"/>
      <c r="M154" s="10"/>
      <c r="O154" s="10" t="s">
        <v>161</v>
      </c>
      <c r="P154" s="10" t="s">
        <v>162</v>
      </c>
    </row>
    <row r="155" spans="1:21" x14ac:dyDescent="0.25">
      <c r="B155" s="567"/>
      <c r="C155" s="568"/>
      <c r="D155" s="589"/>
      <c r="E155" s="589"/>
      <c r="F155" s="589"/>
      <c r="G155" s="589"/>
      <c r="H155" s="589"/>
      <c r="I155" s="589"/>
      <c r="J155" s="589"/>
      <c r="K155" s="589"/>
      <c r="L155" s="590"/>
      <c r="M155" s="10"/>
    </row>
    <row r="156" spans="1:21" x14ac:dyDescent="0.25">
      <c r="B156" s="567"/>
      <c r="C156" s="568"/>
      <c r="D156" s="589"/>
      <c r="E156" s="589"/>
      <c r="F156" s="589"/>
      <c r="G156" s="589"/>
      <c r="H156" s="589"/>
      <c r="I156" s="589"/>
      <c r="J156" s="589"/>
      <c r="K156" s="589"/>
      <c r="L156" s="590"/>
      <c r="M156" s="10"/>
    </row>
    <row r="157" spans="1:21" x14ac:dyDescent="0.25">
      <c r="B157" s="567"/>
      <c r="C157" s="568"/>
      <c r="D157" s="589"/>
      <c r="E157" s="589"/>
      <c r="F157" s="589"/>
      <c r="G157" s="589"/>
      <c r="H157" s="589"/>
      <c r="I157" s="589"/>
      <c r="J157" s="589"/>
      <c r="K157" s="589"/>
      <c r="L157" s="590"/>
      <c r="M157" s="10"/>
    </row>
    <row r="158" spans="1:21" x14ac:dyDescent="0.25">
      <c r="B158" s="567"/>
      <c r="C158" s="568"/>
      <c r="D158" s="589"/>
      <c r="E158" s="589"/>
      <c r="F158" s="589"/>
      <c r="G158" s="589"/>
      <c r="H158" s="589"/>
      <c r="I158" s="589"/>
      <c r="J158" s="589"/>
      <c r="K158" s="589"/>
      <c r="L158" s="590"/>
      <c r="M158" s="10"/>
    </row>
    <row r="159" spans="1:21" x14ac:dyDescent="0.25">
      <c r="B159" s="567" t="str">
        <f>IF(Intro!$G$20="English",O159,P159)</f>
        <v>Segment de marché 3</v>
      </c>
      <c r="C159" s="568"/>
      <c r="D159" s="589"/>
      <c r="E159" s="589"/>
      <c r="F159" s="589"/>
      <c r="G159" s="589"/>
      <c r="H159" s="589"/>
      <c r="I159" s="589"/>
      <c r="J159" s="589"/>
      <c r="K159" s="589"/>
      <c r="L159" s="590"/>
      <c r="M159" s="10"/>
      <c r="O159" s="10" t="s">
        <v>163</v>
      </c>
      <c r="P159" s="10" t="s">
        <v>164</v>
      </c>
    </row>
    <row r="160" spans="1:21" x14ac:dyDescent="0.25">
      <c r="B160" s="567"/>
      <c r="C160" s="568"/>
      <c r="D160" s="589"/>
      <c r="E160" s="589"/>
      <c r="F160" s="589"/>
      <c r="G160" s="589"/>
      <c r="H160" s="589"/>
      <c r="I160" s="589"/>
      <c r="J160" s="589"/>
      <c r="K160" s="589"/>
      <c r="L160" s="590"/>
      <c r="M160" s="10"/>
    </row>
    <row r="161" spans="1:21" x14ac:dyDescent="0.25">
      <c r="B161" s="567"/>
      <c r="C161" s="568"/>
      <c r="D161" s="589"/>
      <c r="E161" s="589"/>
      <c r="F161" s="589"/>
      <c r="G161" s="589"/>
      <c r="H161" s="589"/>
      <c r="I161" s="589"/>
      <c r="J161" s="589"/>
      <c r="K161" s="589"/>
      <c r="L161" s="590"/>
      <c r="M161" s="10"/>
    </row>
    <row r="162" spans="1:21" x14ac:dyDescent="0.25">
      <c r="B162" s="567"/>
      <c r="C162" s="568"/>
      <c r="D162" s="589"/>
      <c r="E162" s="589"/>
      <c r="F162" s="589"/>
      <c r="G162" s="589"/>
      <c r="H162" s="589"/>
      <c r="I162" s="589"/>
      <c r="J162" s="589"/>
      <c r="K162" s="589"/>
      <c r="L162" s="590"/>
      <c r="M162" s="10"/>
    </row>
    <row r="163" spans="1:21" x14ac:dyDescent="0.25">
      <c r="B163" s="567"/>
      <c r="C163" s="568"/>
      <c r="D163" s="589"/>
      <c r="E163" s="589"/>
      <c r="F163" s="589"/>
      <c r="G163" s="589"/>
      <c r="H163" s="589"/>
      <c r="I163" s="589"/>
      <c r="J163" s="589"/>
      <c r="K163" s="589"/>
      <c r="L163" s="590"/>
      <c r="M163" s="10"/>
    </row>
    <row r="164" spans="1:21" s="38" customFormat="1" x14ac:dyDescent="0.25">
      <c r="A164" s="49"/>
      <c r="B164" s="50"/>
      <c r="C164" s="51"/>
      <c r="D164" s="51"/>
      <c r="E164" s="51"/>
      <c r="F164" s="51"/>
      <c r="G164" s="51"/>
      <c r="H164" s="51"/>
      <c r="I164" s="51"/>
      <c r="J164" s="51"/>
      <c r="K164" s="51"/>
      <c r="L164" s="52"/>
      <c r="O164" s="10"/>
      <c r="P164" s="10"/>
      <c r="Q164" s="10"/>
      <c r="R164" s="10"/>
      <c r="S164" s="10"/>
      <c r="T164" s="10"/>
      <c r="U164" s="10"/>
    </row>
    <row r="165" spans="1:21" s="11" customFormat="1" x14ac:dyDescent="0.25">
      <c r="A165" s="7"/>
      <c r="B165" s="674" t="s">
        <v>23</v>
      </c>
      <c r="C165" s="675"/>
      <c r="D165" s="675"/>
      <c r="E165" s="675"/>
      <c r="F165" s="675"/>
      <c r="G165" s="675"/>
      <c r="H165" s="675"/>
      <c r="I165" s="675"/>
      <c r="J165" s="675"/>
      <c r="K165" s="675"/>
      <c r="L165" s="676"/>
      <c r="M165" s="73"/>
    </row>
    <row r="166" spans="1:21" s="38" customFormat="1" x14ac:dyDescent="0.25">
      <c r="A166" s="94"/>
      <c r="B166" s="53"/>
      <c r="C166" s="93"/>
      <c r="D166" s="93"/>
      <c r="E166" s="93"/>
      <c r="F166" s="93"/>
      <c r="G166" s="93"/>
      <c r="H166" s="93"/>
      <c r="I166" s="93"/>
      <c r="J166" s="93"/>
      <c r="K166" s="93"/>
      <c r="L166" s="54"/>
      <c r="O166" s="10"/>
      <c r="P166" s="10"/>
      <c r="Q166" s="10"/>
      <c r="R166" s="10"/>
      <c r="S166" s="10"/>
      <c r="T166" s="10"/>
      <c r="U166" s="10"/>
    </row>
    <row r="167" spans="1:21" s="38" customFormat="1" x14ac:dyDescent="0.25">
      <c r="A167" s="49"/>
      <c r="B167" s="527" t="str">
        <f>IF(Intro!$G$20="English",O167,P167)</f>
        <v>Décrivez s'il y a une saisonnalité sur le marché canadien pour les marchandises. Décrivez les tendances saisonnières dans les importations, les stocks ou les ventes d’importations de votre entreprise au Canada.</v>
      </c>
      <c r="C167" s="528"/>
      <c r="D167" s="528"/>
      <c r="E167" s="528"/>
      <c r="F167" s="528"/>
      <c r="G167" s="528"/>
      <c r="H167" s="528"/>
      <c r="I167" s="528"/>
      <c r="J167" s="528"/>
      <c r="K167" s="528"/>
      <c r="L167" s="529"/>
      <c r="O167" s="10" t="s">
        <v>186</v>
      </c>
      <c r="P167" s="10" t="s">
        <v>187</v>
      </c>
      <c r="Q167" s="10"/>
      <c r="R167" s="10"/>
      <c r="S167" s="10"/>
      <c r="T167" s="10"/>
      <c r="U167" s="10"/>
    </row>
    <row r="168" spans="1:21" s="38" customFormat="1" x14ac:dyDescent="0.25">
      <c r="A168" s="49"/>
      <c r="B168" s="527"/>
      <c r="C168" s="528"/>
      <c r="D168" s="528"/>
      <c r="E168" s="528"/>
      <c r="F168" s="528"/>
      <c r="G168" s="528"/>
      <c r="H168" s="528"/>
      <c r="I168" s="528"/>
      <c r="J168" s="528"/>
      <c r="K168" s="528"/>
      <c r="L168" s="529"/>
      <c r="O168" s="10"/>
      <c r="P168" s="10"/>
      <c r="Q168" s="10"/>
      <c r="R168" s="10"/>
      <c r="S168" s="10"/>
      <c r="T168" s="10"/>
      <c r="U168" s="10"/>
    </row>
    <row r="169" spans="1:21" s="38" customFormat="1" x14ac:dyDescent="0.25">
      <c r="A169" s="94"/>
      <c r="B169" s="53"/>
      <c r="C169" s="93"/>
      <c r="D169" s="93"/>
      <c r="E169" s="93"/>
      <c r="F169" s="93"/>
      <c r="G169" s="93"/>
      <c r="H169" s="93"/>
      <c r="I169" s="93"/>
      <c r="J169" s="93"/>
      <c r="K169" s="93"/>
      <c r="L169" s="54"/>
      <c r="O169" s="10"/>
      <c r="P169" s="10"/>
      <c r="Q169" s="10"/>
      <c r="R169" s="10"/>
      <c r="S169" s="10"/>
      <c r="T169" s="10"/>
      <c r="U169" s="10"/>
    </row>
    <row r="170" spans="1:21" s="11" customFormat="1" x14ac:dyDescent="0.25">
      <c r="A170" s="8"/>
      <c r="B170" s="663"/>
      <c r="C170" s="664"/>
      <c r="D170" s="664"/>
      <c r="E170" s="664"/>
      <c r="F170" s="664"/>
      <c r="G170" s="664"/>
      <c r="H170" s="664"/>
      <c r="I170" s="664"/>
      <c r="J170" s="664"/>
      <c r="K170" s="664"/>
      <c r="L170" s="665"/>
      <c r="M170" s="38"/>
      <c r="Q170" s="10"/>
    </row>
    <row r="171" spans="1:21" s="11" customFormat="1" x14ac:dyDescent="0.25">
      <c r="A171" s="8"/>
      <c r="B171" s="663"/>
      <c r="C171" s="664"/>
      <c r="D171" s="664"/>
      <c r="E171" s="664"/>
      <c r="F171" s="664"/>
      <c r="G171" s="664"/>
      <c r="H171" s="664"/>
      <c r="I171" s="664"/>
      <c r="J171" s="664"/>
      <c r="K171" s="664"/>
      <c r="L171" s="665"/>
      <c r="M171" s="38"/>
      <c r="Q171" s="10"/>
    </row>
    <row r="172" spans="1:21" s="11" customFormat="1" x14ac:dyDescent="0.25">
      <c r="A172" s="8"/>
      <c r="B172" s="663"/>
      <c r="C172" s="664"/>
      <c r="D172" s="664"/>
      <c r="E172" s="664"/>
      <c r="F172" s="664"/>
      <c r="G172" s="664"/>
      <c r="H172" s="664"/>
      <c r="I172" s="664"/>
      <c r="J172" s="664"/>
      <c r="K172" s="664"/>
      <c r="L172" s="665"/>
      <c r="M172" s="38"/>
      <c r="Q172" s="10"/>
    </row>
    <row r="173" spans="1:21" s="11" customFormat="1" x14ac:dyDescent="0.25">
      <c r="A173" s="8"/>
      <c r="B173" s="663"/>
      <c r="C173" s="664"/>
      <c r="D173" s="664"/>
      <c r="E173" s="664"/>
      <c r="F173" s="664"/>
      <c r="G173" s="664"/>
      <c r="H173" s="664"/>
      <c r="I173" s="664"/>
      <c r="J173" s="664"/>
      <c r="K173" s="664"/>
      <c r="L173" s="665"/>
      <c r="M173" s="38"/>
      <c r="Q173" s="10"/>
    </row>
    <row r="174" spans="1:21" s="11" customFormat="1" x14ac:dyDescent="0.25">
      <c r="A174" s="8"/>
      <c r="B174" s="663"/>
      <c r="C174" s="664"/>
      <c r="D174" s="664"/>
      <c r="E174" s="664"/>
      <c r="F174" s="664"/>
      <c r="G174" s="664"/>
      <c r="H174" s="664"/>
      <c r="I174" s="664"/>
      <c r="J174" s="664"/>
      <c r="K174" s="664"/>
      <c r="L174" s="665"/>
      <c r="M174" s="38"/>
      <c r="Q174" s="10"/>
    </row>
    <row r="175" spans="1:21" s="11" customFormat="1" x14ac:dyDescent="0.25">
      <c r="A175" s="8"/>
      <c r="B175" s="663"/>
      <c r="C175" s="664"/>
      <c r="D175" s="664"/>
      <c r="E175" s="664"/>
      <c r="F175" s="664"/>
      <c r="G175" s="664"/>
      <c r="H175" s="664"/>
      <c r="I175" s="664"/>
      <c r="J175" s="664"/>
      <c r="K175" s="664"/>
      <c r="L175" s="665"/>
      <c r="M175" s="38"/>
      <c r="Q175" s="10"/>
    </row>
    <row r="176" spans="1:21" s="11" customFormat="1" x14ac:dyDescent="0.25">
      <c r="A176" s="8"/>
      <c r="B176" s="663"/>
      <c r="C176" s="664"/>
      <c r="D176" s="664"/>
      <c r="E176" s="664"/>
      <c r="F176" s="664"/>
      <c r="G176" s="664"/>
      <c r="H176" s="664"/>
      <c r="I176" s="664"/>
      <c r="J176" s="664"/>
      <c r="K176" s="664"/>
      <c r="L176" s="665"/>
      <c r="M176" s="38"/>
      <c r="Q176" s="10"/>
    </row>
    <row r="177" spans="1:21" s="11" customFormat="1" x14ac:dyDescent="0.25">
      <c r="A177" s="8"/>
      <c r="B177" s="663"/>
      <c r="C177" s="664"/>
      <c r="D177" s="664"/>
      <c r="E177" s="664"/>
      <c r="F177" s="664"/>
      <c r="G177" s="664"/>
      <c r="H177" s="664"/>
      <c r="I177" s="664"/>
      <c r="J177" s="664"/>
      <c r="K177" s="664"/>
      <c r="L177" s="665"/>
      <c r="M177" s="38"/>
      <c r="Q177" s="10"/>
    </row>
    <row r="178" spans="1:21" s="38" customFormat="1" x14ac:dyDescent="0.25">
      <c r="A178" s="94"/>
      <c r="B178" s="50"/>
      <c r="C178" s="51"/>
      <c r="D178" s="51"/>
      <c r="E178" s="51"/>
      <c r="F178" s="51"/>
      <c r="G178" s="51"/>
      <c r="H178" s="51"/>
      <c r="I178" s="51"/>
      <c r="J178" s="51"/>
      <c r="K178" s="51"/>
      <c r="L178" s="52"/>
      <c r="O178" s="10"/>
      <c r="P178" s="10"/>
      <c r="Q178" s="10"/>
      <c r="R178" s="10"/>
      <c r="S178" s="10"/>
      <c r="T178" s="10"/>
      <c r="U178" s="10"/>
    </row>
    <row r="179" spans="1:21" s="11" customFormat="1" x14ac:dyDescent="0.25">
      <c r="A179" s="7"/>
      <c r="B179" s="674" t="s">
        <v>24</v>
      </c>
      <c r="C179" s="675"/>
      <c r="D179" s="675"/>
      <c r="E179" s="675"/>
      <c r="F179" s="675"/>
      <c r="G179" s="675"/>
      <c r="H179" s="675"/>
      <c r="I179" s="675"/>
      <c r="J179" s="675"/>
      <c r="K179" s="675"/>
      <c r="L179" s="676"/>
      <c r="M179" s="73"/>
    </row>
    <row r="180" spans="1:21" s="38" customFormat="1" x14ac:dyDescent="0.25">
      <c r="A180" s="94"/>
      <c r="B180" s="53"/>
      <c r="C180" s="93"/>
      <c r="D180" s="93"/>
      <c r="E180" s="93"/>
      <c r="F180" s="93"/>
      <c r="G180" s="93"/>
      <c r="H180" s="93"/>
      <c r="I180" s="93"/>
      <c r="J180" s="93"/>
      <c r="K180" s="93"/>
      <c r="L180" s="54"/>
      <c r="O180" s="10"/>
      <c r="P180" s="10"/>
      <c r="Q180" s="10"/>
      <c r="R180" s="10"/>
      <c r="S180" s="10"/>
      <c r="T180" s="10"/>
      <c r="U180" s="10"/>
    </row>
    <row r="181" spans="1:21" s="38" customFormat="1" x14ac:dyDescent="0.25">
      <c r="A181" s="94"/>
      <c r="B181" s="527" t="str">
        <f>IF(Intro!$G$20="English",O181,P181)</f>
        <v>Quels ont été les principaux facteurs affectant la demande des marchandises depuis le 1er janvier 2023 (par exemple, les préférences des utilisateurs, la politique gouvernementale, les conditions économiques, le taux de change)?</v>
      </c>
      <c r="C181" s="528"/>
      <c r="D181" s="528"/>
      <c r="E181" s="528"/>
      <c r="F181" s="528"/>
      <c r="G181" s="528"/>
      <c r="H181" s="528"/>
      <c r="I181" s="528"/>
      <c r="J181" s="528"/>
      <c r="K181" s="528"/>
      <c r="L181" s="529"/>
      <c r="O181"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81"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181" s="10"/>
      <c r="R181" s="10"/>
      <c r="S181" s="10"/>
      <c r="T181" s="10"/>
      <c r="U181" s="10"/>
    </row>
    <row r="182" spans="1:21" s="38" customFormat="1" x14ac:dyDescent="0.25">
      <c r="A182" s="94"/>
      <c r="B182" s="527"/>
      <c r="C182" s="528"/>
      <c r="D182" s="528"/>
      <c r="E182" s="528"/>
      <c r="F182" s="528"/>
      <c r="G182" s="528"/>
      <c r="H182" s="528"/>
      <c r="I182" s="528"/>
      <c r="J182" s="528"/>
      <c r="K182" s="528"/>
      <c r="L182" s="529"/>
      <c r="O182" s="10"/>
      <c r="P182" s="10"/>
      <c r="Q182" s="10"/>
      <c r="R182" s="10"/>
      <c r="S182" s="10"/>
      <c r="T182" s="10"/>
      <c r="U182" s="10"/>
    </row>
    <row r="183" spans="1:21" s="38" customFormat="1" x14ac:dyDescent="0.25">
      <c r="A183" s="94"/>
      <c r="B183" s="53"/>
      <c r="C183" s="93"/>
      <c r="D183" s="93"/>
      <c r="E183" s="93"/>
      <c r="F183" s="93"/>
      <c r="G183" s="93"/>
      <c r="H183" s="93"/>
      <c r="I183" s="93"/>
      <c r="J183" s="93"/>
      <c r="K183" s="93"/>
      <c r="L183" s="54"/>
      <c r="O183" s="10"/>
      <c r="P183" s="10"/>
      <c r="Q183" s="10"/>
      <c r="R183" s="10"/>
      <c r="S183" s="10"/>
      <c r="T183" s="10"/>
      <c r="U183" s="10"/>
    </row>
    <row r="184" spans="1:21" s="11" customFormat="1" x14ac:dyDescent="0.25">
      <c r="A184" s="8"/>
      <c r="B184" s="663"/>
      <c r="C184" s="664"/>
      <c r="D184" s="664"/>
      <c r="E184" s="664"/>
      <c r="F184" s="664"/>
      <c r="G184" s="664"/>
      <c r="H184" s="664"/>
      <c r="I184" s="664"/>
      <c r="J184" s="664"/>
      <c r="K184" s="664"/>
      <c r="L184" s="665"/>
      <c r="M184" s="38"/>
      <c r="Q184" s="10"/>
    </row>
    <row r="185" spans="1:21" s="11" customFormat="1" x14ac:dyDescent="0.25">
      <c r="A185" s="8"/>
      <c r="B185" s="663"/>
      <c r="C185" s="664"/>
      <c r="D185" s="664"/>
      <c r="E185" s="664"/>
      <c r="F185" s="664"/>
      <c r="G185" s="664"/>
      <c r="H185" s="664"/>
      <c r="I185" s="664"/>
      <c r="J185" s="664"/>
      <c r="K185" s="664"/>
      <c r="L185" s="665"/>
      <c r="M185" s="38"/>
      <c r="Q185" s="10"/>
    </row>
    <row r="186" spans="1:21" s="11" customFormat="1" x14ac:dyDescent="0.25">
      <c r="A186" s="8"/>
      <c r="B186" s="663"/>
      <c r="C186" s="664"/>
      <c r="D186" s="664"/>
      <c r="E186" s="664"/>
      <c r="F186" s="664"/>
      <c r="G186" s="664"/>
      <c r="H186" s="664"/>
      <c r="I186" s="664"/>
      <c r="J186" s="664"/>
      <c r="K186" s="664"/>
      <c r="L186" s="665"/>
      <c r="M186" s="38"/>
      <c r="Q186" s="10"/>
    </row>
    <row r="187" spans="1:21" s="11" customFormat="1" x14ac:dyDescent="0.25">
      <c r="A187" s="8"/>
      <c r="B187" s="663"/>
      <c r="C187" s="664"/>
      <c r="D187" s="664"/>
      <c r="E187" s="664"/>
      <c r="F187" s="664"/>
      <c r="G187" s="664"/>
      <c r="H187" s="664"/>
      <c r="I187" s="664"/>
      <c r="J187" s="664"/>
      <c r="K187" s="664"/>
      <c r="L187" s="665"/>
      <c r="M187" s="38"/>
      <c r="Q187" s="10"/>
    </row>
    <row r="188" spans="1:21" s="11" customFormat="1" x14ac:dyDescent="0.25">
      <c r="A188" s="8"/>
      <c r="B188" s="663"/>
      <c r="C188" s="664"/>
      <c r="D188" s="664"/>
      <c r="E188" s="664"/>
      <c r="F188" s="664"/>
      <c r="G188" s="664"/>
      <c r="H188" s="664"/>
      <c r="I188" s="664"/>
      <c r="J188" s="664"/>
      <c r="K188" s="664"/>
      <c r="L188" s="665"/>
      <c r="M188" s="38"/>
      <c r="Q188" s="10"/>
    </row>
    <row r="189" spans="1:21" s="11" customFormat="1" x14ac:dyDescent="0.25">
      <c r="A189" s="8"/>
      <c r="B189" s="663"/>
      <c r="C189" s="664"/>
      <c r="D189" s="664"/>
      <c r="E189" s="664"/>
      <c r="F189" s="664"/>
      <c r="G189" s="664"/>
      <c r="H189" s="664"/>
      <c r="I189" s="664"/>
      <c r="J189" s="664"/>
      <c r="K189" s="664"/>
      <c r="L189" s="665"/>
      <c r="M189" s="38"/>
      <c r="Q189" s="10"/>
    </row>
    <row r="190" spans="1:21" s="11" customFormat="1" x14ac:dyDescent="0.25">
      <c r="A190" s="8"/>
      <c r="B190" s="663"/>
      <c r="C190" s="664"/>
      <c r="D190" s="664"/>
      <c r="E190" s="664"/>
      <c r="F190" s="664"/>
      <c r="G190" s="664"/>
      <c r="H190" s="664"/>
      <c r="I190" s="664"/>
      <c r="J190" s="664"/>
      <c r="K190" s="664"/>
      <c r="L190" s="665"/>
      <c r="M190" s="38"/>
      <c r="Q190" s="10"/>
    </row>
    <row r="191" spans="1:21" s="11" customFormat="1" x14ac:dyDescent="0.25">
      <c r="A191" s="8"/>
      <c r="B191" s="663"/>
      <c r="C191" s="664"/>
      <c r="D191" s="664"/>
      <c r="E191" s="664"/>
      <c r="F191" s="664"/>
      <c r="G191" s="664"/>
      <c r="H191" s="664"/>
      <c r="I191" s="664"/>
      <c r="J191" s="664"/>
      <c r="K191" s="664"/>
      <c r="L191" s="665"/>
      <c r="M191" s="38"/>
      <c r="Q191" s="10"/>
    </row>
    <row r="192" spans="1:21" s="38" customFormat="1" x14ac:dyDescent="0.25">
      <c r="A192" s="94"/>
      <c r="B192" s="50"/>
      <c r="C192" s="51"/>
      <c r="D192" s="51"/>
      <c r="E192" s="51"/>
      <c r="F192" s="51"/>
      <c r="G192" s="51"/>
      <c r="H192" s="51"/>
      <c r="I192" s="51"/>
      <c r="J192" s="51"/>
      <c r="K192" s="51"/>
      <c r="L192" s="52"/>
      <c r="O192" s="10"/>
      <c r="P192" s="10"/>
      <c r="Q192" s="10"/>
      <c r="R192" s="10"/>
      <c r="S192" s="10"/>
      <c r="T192" s="10"/>
      <c r="U192" s="10"/>
    </row>
    <row r="193" spans="1:21" s="11" customFormat="1" x14ac:dyDescent="0.25">
      <c r="A193" s="7"/>
      <c r="B193" s="674" t="s">
        <v>26</v>
      </c>
      <c r="C193" s="675"/>
      <c r="D193" s="675"/>
      <c r="E193" s="675"/>
      <c r="F193" s="675"/>
      <c r="G193" s="675"/>
      <c r="H193" s="675"/>
      <c r="I193" s="675"/>
      <c r="J193" s="675"/>
      <c r="K193" s="675"/>
      <c r="L193" s="676"/>
      <c r="M193" s="73"/>
    </row>
    <row r="194" spans="1:21" s="38" customFormat="1" x14ac:dyDescent="0.25">
      <c r="A194" s="94"/>
      <c r="B194" s="53"/>
      <c r="C194" s="93"/>
      <c r="D194" s="93"/>
      <c r="E194" s="93"/>
      <c r="F194" s="93"/>
      <c r="G194" s="93"/>
      <c r="H194" s="93"/>
      <c r="I194" s="93"/>
      <c r="J194" s="93"/>
      <c r="K194" s="93"/>
      <c r="L194" s="54"/>
      <c r="O194" s="10"/>
      <c r="P194" s="10"/>
      <c r="Q194" s="10"/>
      <c r="R194" s="10"/>
      <c r="S194" s="10"/>
      <c r="T194" s="10"/>
      <c r="U194" s="10"/>
    </row>
    <row r="195" spans="1:21" s="38" customFormat="1" x14ac:dyDescent="0.25">
      <c r="A195" s="94"/>
      <c r="B195" s="654" t="str">
        <f>IF(Intro!$G$20="English",O195,P195)</f>
        <v>Décrivez tout changement technologique qui a eu une incidence sur le marché canadien des marchandises depuis le 1er janvier 2023.</v>
      </c>
      <c r="C195" s="655"/>
      <c r="D195" s="655"/>
      <c r="E195" s="655"/>
      <c r="F195" s="655"/>
      <c r="G195" s="655"/>
      <c r="H195" s="655"/>
      <c r="I195" s="655"/>
      <c r="J195" s="655"/>
      <c r="K195" s="655"/>
      <c r="L195" s="656"/>
      <c r="O195" s="10" t="str">
        <f>"Describe any changes in technology that have impacted the Canadian market for the goods since January 1, "&amp;Variables!B6&amp;"."</f>
        <v>Describe any changes in technology that have impacted the Canadian market for the goods since January 1, 2023.</v>
      </c>
      <c r="P195"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95" s="10"/>
      <c r="R195" s="10"/>
      <c r="S195" s="10"/>
      <c r="T195" s="10"/>
      <c r="U195" s="10"/>
    </row>
    <row r="196" spans="1:21" s="38" customFormat="1" x14ac:dyDescent="0.25">
      <c r="A196" s="94"/>
      <c r="B196" s="53"/>
      <c r="C196" s="93"/>
      <c r="D196" s="93"/>
      <c r="E196" s="93"/>
      <c r="F196" s="93"/>
      <c r="G196" s="93"/>
      <c r="H196" s="93"/>
      <c r="I196" s="93"/>
      <c r="J196" s="93"/>
      <c r="K196" s="93"/>
      <c r="L196" s="54"/>
      <c r="O196" s="10"/>
      <c r="P196" s="10"/>
      <c r="Q196" s="10"/>
      <c r="R196" s="10"/>
      <c r="S196" s="10"/>
      <c r="T196" s="10"/>
      <c r="U196" s="10"/>
    </row>
    <row r="197" spans="1:21" s="11" customFormat="1" x14ac:dyDescent="0.25">
      <c r="A197" s="8"/>
      <c r="B197" s="663"/>
      <c r="C197" s="664"/>
      <c r="D197" s="664"/>
      <c r="E197" s="664"/>
      <c r="F197" s="664"/>
      <c r="G197" s="664"/>
      <c r="H197" s="664"/>
      <c r="I197" s="664"/>
      <c r="J197" s="664"/>
      <c r="K197" s="664"/>
      <c r="L197" s="665"/>
      <c r="M197" s="38"/>
      <c r="Q197" s="10"/>
    </row>
    <row r="198" spans="1:21" s="11" customFormat="1" x14ac:dyDescent="0.25">
      <c r="A198" s="8"/>
      <c r="B198" s="663"/>
      <c r="C198" s="664"/>
      <c r="D198" s="664"/>
      <c r="E198" s="664"/>
      <c r="F198" s="664"/>
      <c r="G198" s="664"/>
      <c r="H198" s="664"/>
      <c r="I198" s="664"/>
      <c r="J198" s="664"/>
      <c r="K198" s="664"/>
      <c r="L198" s="665"/>
      <c r="M198" s="38"/>
      <c r="Q198" s="10"/>
    </row>
    <row r="199" spans="1:21" s="11" customFormat="1" x14ac:dyDescent="0.25">
      <c r="A199" s="8"/>
      <c r="B199" s="663"/>
      <c r="C199" s="664"/>
      <c r="D199" s="664"/>
      <c r="E199" s="664"/>
      <c r="F199" s="664"/>
      <c r="G199" s="664"/>
      <c r="H199" s="664"/>
      <c r="I199" s="664"/>
      <c r="J199" s="664"/>
      <c r="K199" s="664"/>
      <c r="L199" s="665"/>
      <c r="M199" s="38"/>
      <c r="Q199" s="10"/>
    </row>
    <row r="200" spans="1:21" s="11" customFormat="1" x14ac:dyDescent="0.25">
      <c r="A200" s="8"/>
      <c r="B200" s="663"/>
      <c r="C200" s="664"/>
      <c r="D200" s="664"/>
      <c r="E200" s="664"/>
      <c r="F200" s="664"/>
      <c r="G200" s="664"/>
      <c r="H200" s="664"/>
      <c r="I200" s="664"/>
      <c r="J200" s="664"/>
      <c r="K200" s="664"/>
      <c r="L200" s="665"/>
      <c r="M200" s="38"/>
      <c r="Q200" s="10"/>
    </row>
    <row r="201" spans="1:21" s="11" customFormat="1" x14ac:dyDescent="0.25">
      <c r="A201" s="8"/>
      <c r="B201" s="663"/>
      <c r="C201" s="664"/>
      <c r="D201" s="664"/>
      <c r="E201" s="664"/>
      <c r="F201" s="664"/>
      <c r="G201" s="664"/>
      <c r="H201" s="664"/>
      <c r="I201" s="664"/>
      <c r="J201" s="664"/>
      <c r="K201" s="664"/>
      <c r="L201" s="665"/>
      <c r="M201" s="38"/>
      <c r="Q201" s="10"/>
    </row>
    <row r="202" spans="1:21" s="11" customFormat="1" x14ac:dyDescent="0.25">
      <c r="A202" s="8"/>
      <c r="B202" s="663"/>
      <c r="C202" s="664"/>
      <c r="D202" s="664"/>
      <c r="E202" s="664"/>
      <c r="F202" s="664"/>
      <c r="G202" s="664"/>
      <c r="H202" s="664"/>
      <c r="I202" s="664"/>
      <c r="J202" s="664"/>
      <c r="K202" s="664"/>
      <c r="L202" s="665"/>
      <c r="M202" s="38"/>
      <c r="Q202" s="10"/>
    </row>
    <row r="203" spans="1:21" s="11" customFormat="1" x14ac:dyDescent="0.25">
      <c r="A203" s="8"/>
      <c r="B203" s="663"/>
      <c r="C203" s="664"/>
      <c r="D203" s="664"/>
      <c r="E203" s="664"/>
      <c r="F203" s="664"/>
      <c r="G203" s="664"/>
      <c r="H203" s="664"/>
      <c r="I203" s="664"/>
      <c r="J203" s="664"/>
      <c r="K203" s="664"/>
      <c r="L203" s="665"/>
      <c r="M203" s="38"/>
      <c r="Q203" s="10"/>
    </row>
    <row r="204" spans="1:21" s="11" customFormat="1" x14ac:dyDescent="0.25">
      <c r="A204" s="8"/>
      <c r="B204" s="663"/>
      <c r="C204" s="664"/>
      <c r="D204" s="664"/>
      <c r="E204" s="664"/>
      <c r="F204" s="664"/>
      <c r="G204" s="664"/>
      <c r="H204" s="664"/>
      <c r="I204" s="664"/>
      <c r="J204" s="664"/>
      <c r="K204" s="664"/>
      <c r="L204" s="665"/>
      <c r="M204" s="38"/>
      <c r="Q204" s="10"/>
    </row>
    <row r="205" spans="1:21" s="38" customFormat="1" x14ac:dyDescent="0.25">
      <c r="A205" s="94"/>
      <c r="B205" s="50"/>
      <c r="C205" s="51"/>
      <c r="D205" s="51"/>
      <c r="E205" s="51"/>
      <c r="F205" s="51"/>
      <c r="G205" s="51"/>
      <c r="H205" s="51"/>
      <c r="I205" s="51"/>
      <c r="J205" s="51"/>
      <c r="K205" s="51"/>
      <c r="L205" s="52"/>
      <c r="O205" s="10"/>
      <c r="P205" s="10"/>
      <c r="Q205" s="10"/>
      <c r="R205" s="10"/>
      <c r="S205" s="10"/>
      <c r="T205" s="10"/>
      <c r="U205" s="10"/>
    </row>
    <row r="206" spans="1:21" s="11" customFormat="1" x14ac:dyDescent="0.25">
      <c r="A206" s="7"/>
      <c r="B206" s="674" t="s">
        <v>44</v>
      </c>
      <c r="C206" s="675"/>
      <c r="D206" s="675"/>
      <c r="E206" s="675"/>
      <c r="F206" s="675"/>
      <c r="G206" s="675"/>
      <c r="H206" s="675"/>
      <c r="I206" s="675"/>
      <c r="J206" s="675"/>
      <c r="K206" s="675"/>
      <c r="L206" s="676"/>
      <c r="M206" s="73"/>
    </row>
    <row r="207" spans="1:21" s="38" customFormat="1" x14ac:dyDescent="0.25">
      <c r="A207" s="94"/>
      <c r="B207" s="53"/>
      <c r="C207" s="93"/>
      <c r="D207" s="93"/>
      <c r="E207" s="93"/>
      <c r="F207" s="93"/>
      <c r="G207" s="93"/>
      <c r="H207" s="93"/>
      <c r="I207" s="93"/>
      <c r="J207" s="93"/>
      <c r="K207" s="93"/>
      <c r="L207" s="54"/>
      <c r="O207" s="10"/>
      <c r="P207" s="10"/>
      <c r="Q207" s="10"/>
      <c r="R207" s="10"/>
      <c r="S207" s="10"/>
      <c r="T207" s="10"/>
      <c r="U207" s="10"/>
    </row>
    <row r="208" spans="1:21" s="38" customFormat="1" x14ac:dyDescent="0.25">
      <c r="A208" s="94"/>
      <c r="B208" s="527" t="str">
        <f>IF(Intro!$G$20="English",O208,P208)</f>
        <v>Expliquez les circonstances dans lesquelles les acheteurs canadiens sont prêts à payer un prix plus élevé pour les marchandises produites au Canada. Quel serait le montant de ce supplément?</v>
      </c>
      <c r="C208" s="528"/>
      <c r="D208" s="528"/>
      <c r="E208" s="528"/>
      <c r="F208" s="528"/>
      <c r="G208" s="528"/>
      <c r="H208" s="528"/>
      <c r="I208" s="528"/>
      <c r="J208" s="528"/>
      <c r="K208" s="528"/>
      <c r="L208" s="529"/>
      <c r="O208" s="10" t="s">
        <v>158</v>
      </c>
      <c r="P208" s="10" t="s">
        <v>211</v>
      </c>
      <c r="Q208" s="10"/>
      <c r="R208" s="10"/>
      <c r="S208" s="10"/>
      <c r="T208" s="10"/>
      <c r="U208" s="10"/>
    </row>
    <row r="209" spans="1:21" s="38" customFormat="1" x14ac:dyDescent="0.25">
      <c r="A209" s="94"/>
      <c r="B209" s="53"/>
      <c r="C209" s="93"/>
      <c r="D209" s="93"/>
      <c r="E209" s="93"/>
      <c r="F209" s="93"/>
      <c r="G209" s="93"/>
      <c r="H209" s="93"/>
      <c r="I209" s="93"/>
      <c r="J209" s="93"/>
      <c r="K209" s="93"/>
      <c r="L209" s="54"/>
      <c r="O209" s="10"/>
      <c r="P209" s="10"/>
      <c r="Q209" s="10"/>
      <c r="R209" s="10"/>
      <c r="S209" s="10"/>
      <c r="T209" s="10"/>
      <c r="U209" s="10"/>
    </row>
    <row r="210" spans="1:21" x14ac:dyDescent="0.25">
      <c r="A210" s="7"/>
      <c r="B210" s="567" t="str">
        <f>IF(Intro!$G$20="English",O210,P210)</f>
        <v xml:space="preserve"> Majoration du prix</v>
      </c>
      <c r="C210" s="568"/>
      <c r="D210" s="124" t="s">
        <v>123</v>
      </c>
      <c r="E210" s="149"/>
      <c r="F210" s="93"/>
      <c r="G210" s="93"/>
      <c r="H210" s="93"/>
      <c r="I210" s="93"/>
      <c r="J210" s="93"/>
      <c r="K210" s="93"/>
      <c r="L210" s="54"/>
      <c r="M210" s="10"/>
      <c r="O210" s="10" t="s">
        <v>124</v>
      </c>
      <c r="P210" s="10" t="s">
        <v>125</v>
      </c>
    </row>
    <row r="211" spans="1:21" s="38" customFormat="1" x14ac:dyDescent="0.25">
      <c r="A211" s="94"/>
      <c r="B211" s="53"/>
      <c r="C211" s="93"/>
      <c r="D211" s="93"/>
      <c r="E211" s="93"/>
      <c r="F211" s="93"/>
      <c r="G211" s="93"/>
      <c r="H211" s="93"/>
      <c r="I211" s="93"/>
      <c r="J211" s="93"/>
      <c r="K211" s="93"/>
      <c r="L211" s="54"/>
      <c r="O211" s="10"/>
      <c r="P211" s="10"/>
      <c r="Q211" s="10"/>
      <c r="R211" s="10"/>
      <c r="S211" s="10"/>
      <c r="T211" s="10"/>
      <c r="U211" s="10"/>
    </row>
    <row r="212" spans="1:21" s="11" customFormat="1" x14ac:dyDescent="0.25">
      <c r="A212" s="8"/>
      <c r="B212" s="663"/>
      <c r="C212" s="664"/>
      <c r="D212" s="664"/>
      <c r="E212" s="664"/>
      <c r="F212" s="664"/>
      <c r="G212" s="664"/>
      <c r="H212" s="664"/>
      <c r="I212" s="664"/>
      <c r="J212" s="664"/>
      <c r="K212" s="664"/>
      <c r="L212" s="665"/>
      <c r="M212" s="38"/>
      <c r="Q212" s="10"/>
    </row>
    <row r="213" spans="1:21" s="11" customFormat="1" x14ac:dyDescent="0.25">
      <c r="A213" s="8"/>
      <c r="B213" s="663"/>
      <c r="C213" s="664"/>
      <c r="D213" s="664"/>
      <c r="E213" s="664"/>
      <c r="F213" s="664"/>
      <c r="G213" s="664"/>
      <c r="H213" s="664"/>
      <c r="I213" s="664"/>
      <c r="J213" s="664"/>
      <c r="K213" s="664"/>
      <c r="L213" s="665"/>
      <c r="M213" s="38"/>
      <c r="Q213" s="10"/>
    </row>
    <row r="214" spans="1:21" s="11" customFormat="1" x14ac:dyDescent="0.25">
      <c r="A214" s="8"/>
      <c r="B214" s="663"/>
      <c r="C214" s="664"/>
      <c r="D214" s="664"/>
      <c r="E214" s="664"/>
      <c r="F214" s="664"/>
      <c r="G214" s="664"/>
      <c r="H214" s="664"/>
      <c r="I214" s="664"/>
      <c r="J214" s="664"/>
      <c r="K214" s="664"/>
      <c r="L214" s="665"/>
      <c r="M214" s="38"/>
      <c r="Q214" s="10"/>
    </row>
    <row r="215" spans="1:21" s="11" customFormat="1" x14ac:dyDescent="0.25">
      <c r="A215" s="8"/>
      <c r="B215" s="663"/>
      <c r="C215" s="664"/>
      <c r="D215" s="664"/>
      <c r="E215" s="664"/>
      <c r="F215" s="664"/>
      <c r="G215" s="664"/>
      <c r="H215" s="664"/>
      <c r="I215" s="664"/>
      <c r="J215" s="664"/>
      <c r="K215" s="664"/>
      <c r="L215" s="665"/>
      <c r="M215" s="38"/>
      <c r="Q215" s="10"/>
    </row>
    <row r="216" spans="1:21" s="11" customFormat="1" x14ac:dyDescent="0.25">
      <c r="A216" s="8"/>
      <c r="B216" s="663"/>
      <c r="C216" s="664"/>
      <c r="D216" s="664"/>
      <c r="E216" s="664"/>
      <c r="F216" s="664"/>
      <c r="G216" s="664"/>
      <c r="H216" s="664"/>
      <c r="I216" s="664"/>
      <c r="J216" s="664"/>
      <c r="K216" s="664"/>
      <c r="L216" s="665"/>
      <c r="M216" s="38"/>
      <c r="Q216" s="10"/>
    </row>
    <row r="217" spans="1:21" s="11" customFormat="1" x14ac:dyDescent="0.25">
      <c r="A217" s="8"/>
      <c r="B217" s="663"/>
      <c r="C217" s="664"/>
      <c r="D217" s="664"/>
      <c r="E217" s="664"/>
      <c r="F217" s="664"/>
      <c r="G217" s="664"/>
      <c r="H217" s="664"/>
      <c r="I217" s="664"/>
      <c r="J217" s="664"/>
      <c r="K217" s="664"/>
      <c r="L217" s="665"/>
      <c r="M217" s="38"/>
      <c r="Q217" s="10"/>
    </row>
    <row r="218" spans="1:21" s="11" customFormat="1" x14ac:dyDescent="0.25">
      <c r="A218" s="8"/>
      <c r="B218" s="663"/>
      <c r="C218" s="664"/>
      <c r="D218" s="664"/>
      <c r="E218" s="664"/>
      <c r="F218" s="664"/>
      <c r="G218" s="664"/>
      <c r="H218" s="664"/>
      <c r="I218" s="664"/>
      <c r="J218" s="664"/>
      <c r="K218" s="664"/>
      <c r="L218" s="665"/>
      <c r="M218" s="38"/>
      <c r="Q218" s="10"/>
    </row>
    <row r="219" spans="1:21" s="11" customFormat="1" x14ac:dyDescent="0.25">
      <c r="A219" s="8"/>
      <c r="B219" s="663"/>
      <c r="C219" s="664"/>
      <c r="D219" s="664"/>
      <c r="E219" s="664"/>
      <c r="F219" s="664"/>
      <c r="G219" s="664"/>
      <c r="H219" s="664"/>
      <c r="I219" s="664"/>
      <c r="J219" s="664"/>
      <c r="K219" s="664"/>
      <c r="L219" s="665"/>
      <c r="M219" s="38"/>
      <c r="Q219" s="10"/>
    </row>
    <row r="220" spans="1:21" s="38" customFormat="1" x14ac:dyDescent="0.25">
      <c r="A220" s="94"/>
      <c r="B220" s="50"/>
      <c r="C220" s="51"/>
      <c r="D220" s="51"/>
      <c r="E220" s="51"/>
      <c r="F220" s="51"/>
      <c r="G220" s="51"/>
      <c r="H220" s="51"/>
      <c r="I220" s="51"/>
      <c r="J220" s="51"/>
      <c r="K220" s="51"/>
      <c r="L220" s="52"/>
      <c r="O220" s="10"/>
      <c r="P220" s="10"/>
      <c r="Q220" s="10"/>
      <c r="R220" s="10"/>
      <c r="S220" s="10"/>
      <c r="T220" s="10"/>
      <c r="U220" s="10"/>
    </row>
    <row r="221" spans="1:21" s="11" customFormat="1" x14ac:dyDescent="0.25">
      <c r="A221" s="7"/>
      <c r="B221" s="674" t="s">
        <v>56</v>
      </c>
      <c r="C221" s="675"/>
      <c r="D221" s="675"/>
      <c r="E221" s="675"/>
      <c r="F221" s="675"/>
      <c r="G221" s="675"/>
      <c r="H221" s="675"/>
      <c r="I221" s="675"/>
      <c r="J221" s="675"/>
      <c r="K221" s="675"/>
      <c r="L221" s="676"/>
      <c r="M221" s="73"/>
    </row>
    <row r="222" spans="1:21" s="38" customFormat="1" x14ac:dyDescent="0.25">
      <c r="A222" s="94"/>
      <c r="B222" s="53"/>
      <c r="C222" s="93"/>
      <c r="D222" s="93"/>
      <c r="E222" s="93"/>
      <c r="F222" s="93"/>
      <c r="G222" s="93"/>
      <c r="H222" s="93"/>
      <c r="I222" s="93"/>
      <c r="J222" s="93"/>
      <c r="K222" s="93"/>
      <c r="L222" s="54"/>
      <c r="O222" s="10"/>
      <c r="P222" s="10"/>
      <c r="Q222" s="10"/>
      <c r="R222" s="10"/>
      <c r="S222" s="10"/>
      <c r="T222" s="10"/>
      <c r="U222" s="10"/>
    </row>
    <row r="223" spans="1:21" s="38" customFormat="1" x14ac:dyDescent="0.25">
      <c r="A223" s="94"/>
      <c r="B223" s="654" t="str">
        <f>IF(Intro!$G$20="English",O223,P223)</f>
        <v>Dans quelle mesure les marchandises produites au Canada sont-elles interchangeables avec les marchandises importées de l'Autriche?</v>
      </c>
      <c r="C223" s="655"/>
      <c r="D223" s="655"/>
      <c r="E223" s="655"/>
      <c r="F223" s="655"/>
      <c r="G223" s="655"/>
      <c r="H223" s="655"/>
      <c r="I223" s="655"/>
      <c r="J223" s="655"/>
      <c r="K223" s="655"/>
      <c r="L223" s="656"/>
      <c r="O223" s="10" t="str">
        <f>"To what extent are the goods produced in Canada interchangeable with the imported goods from "&amp;Variables!B5&amp;"?"</f>
        <v>To what extent are the goods produced in Canada interchangeable with the imported goods from Austria?</v>
      </c>
      <c r="P223" s="10" t="str">
        <f>"Dans quelle mesure les marchandises produites au Canada sont-elles interchangeables avec les marchandises importées "&amp;Variables!C5&amp;"?"</f>
        <v>Dans quelle mesure les marchandises produites au Canada sont-elles interchangeables avec les marchandises importées de l'Autriche?</v>
      </c>
      <c r="Q223" s="10"/>
      <c r="R223" s="10"/>
      <c r="S223" s="10"/>
      <c r="T223" s="10"/>
      <c r="U223" s="10"/>
    </row>
    <row r="224" spans="1:21" s="38" customFormat="1" x14ac:dyDescent="0.25">
      <c r="A224" s="94"/>
      <c r="B224" s="53"/>
      <c r="C224" s="93"/>
      <c r="D224" s="93"/>
      <c r="E224" s="93"/>
      <c r="F224" s="93"/>
      <c r="G224" s="93"/>
      <c r="H224" s="93"/>
      <c r="I224" s="93"/>
      <c r="J224" s="93"/>
      <c r="K224" s="93"/>
      <c r="L224" s="54"/>
      <c r="O224" s="10"/>
      <c r="P224" s="10"/>
      <c r="Q224" s="10"/>
      <c r="R224" s="10"/>
      <c r="S224" s="10"/>
      <c r="T224" s="10"/>
      <c r="U224" s="10"/>
    </row>
    <row r="225" spans="1:21" s="11" customFormat="1" x14ac:dyDescent="0.25">
      <c r="A225" s="8"/>
      <c r="B225" s="663"/>
      <c r="C225" s="664"/>
      <c r="D225" s="664"/>
      <c r="E225" s="664"/>
      <c r="F225" s="664"/>
      <c r="G225" s="664"/>
      <c r="H225" s="664"/>
      <c r="I225" s="664"/>
      <c r="J225" s="664"/>
      <c r="K225" s="664"/>
      <c r="L225" s="665"/>
      <c r="M225" s="38"/>
      <c r="Q225" s="10"/>
    </row>
    <row r="226" spans="1:21" s="11" customFormat="1" x14ac:dyDescent="0.25">
      <c r="A226" s="8"/>
      <c r="B226" s="663"/>
      <c r="C226" s="664"/>
      <c r="D226" s="664"/>
      <c r="E226" s="664"/>
      <c r="F226" s="664"/>
      <c r="G226" s="664"/>
      <c r="H226" s="664"/>
      <c r="I226" s="664"/>
      <c r="J226" s="664"/>
      <c r="K226" s="664"/>
      <c r="L226" s="665"/>
      <c r="M226" s="38"/>
      <c r="Q226" s="10"/>
    </row>
    <row r="227" spans="1:21" s="11" customFormat="1" x14ac:dyDescent="0.25">
      <c r="A227" s="8"/>
      <c r="B227" s="663"/>
      <c r="C227" s="664"/>
      <c r="D227" s="664"/>
      <c r="E227" s="664"/>
      <c r="F227" s="664"/>
      <c r="G227" s="664"/>
      <c r="H227" s="664"/>
      <c r="I227" s="664"/>
      <c r="J227" s="664"/>
      <c r="K227" s="664"/>
      <c r="L227" s="665"/>
      <c r="M227" s="38"/>
      <c r="Q227" s="10"/>
    </row>
    <row r="228" spans="1:21" s="11" customFormat="1" x14ac:dyDescent="0.25">
      <c r="A228" s="8"/>
      <c r="B228" s="663"/>
      <c r="C228" s="664"/>
      <c r="D228" s="664"/>
      <c r="E228" s="664"/>
      <c r="F228" s="664"/>
      <c r="G228" s="664"/>
      <c r="H228" s="664"/>
      <c r="I228" s="664"/>
      <c r="J228" s="664"/>
      <c r="K228" s="664"/>
      <c r="L228" s="665"/>
      <c r="M228" s="38"/>
      <c r="Q228" s="10"/>
    </row>
    <row r="229" spans="1:21" s="11" customFormat="1" x14ac:dyDescent="0.25">
      <c r="A229" s="8"/>
      <c r="B229" s="663"/>
      <c r="C229" s="664"/>
      <c r="D229" s="664"/>
      <c r="E229" s="664"/>
      <c r="F229" s="664"/>
      <c r="G229" s="664"/>
      <c r="H229" s="664"/>
      <c r="I229" s="664"/>
      <c r="J229" s="664"/>
      <c r="K229" s="664"/>
      <c r="L229" s="665"/>
      <c r="M229" s="38"/>
      <c r="Q229" s="10"/>
    </row>
    <row r="230" spans="1:21" s="11" customFormat="1" x14ac:dyDescent="0.25">
      <c r="A230" s="8"/>
      <c r="B230" s="663"/>
      <c r="C230" s="664"/>
      <c r="D230" s="664"/>
      <c r="E230" s="664"/>
      <c r="F230" s="664"/>
      <c r="G230" s="664"/>
      <c r="H230" s="664"/>
      <c r="I230" s="664"/>
      <c r="J230" s="664"/>
      <c r="K230" s="664"/>
      <c r="L230" s="665"/>
      <c r="M230" s="38"/>
      <c r="Q230" s="10"/>
    </row>
    <row r="231" spans="1:21" s="11" customFormat="1" x14ac:dyDescent="0.25">
      <c r="A231" s="8"/>
      <c r="B231" s="663"/>
      <c r="C231" s="664"/>
      <c r="D231" s="664"/>
      <c r="E231" s="664"/>
      <c r="F231" s="664"/>
      <c r="G231" s="664"/>
      <c r="H231" s="664"/>
      <c r="I231" s="664"/>
      <c r="J231" s="664"/>
      <c r="K231" s="664"/>
      <c r="L231" s="665"/>
      <c r="M231" s="38"/>
      <c r="Q231" s="10"/>
    </row>
    <row r="232" spans="1:21" s="11" customFormat="1" x14ac:dyDescent="0.25">
      <c r="A232" s="8"/>
      <c r="B232" s="663"/>
      <c r="C232" s="664"/>
      <c r="D232" s="664"/>
      <c r="E232" s="664"/>
      <c r="F232" s="664"/>
      <c r="G232" s="664"/>
      <c r="H232" s="664"/>
      <c r="I232" s="664"/>
      <c r="J232" s="664"/>
      <c r="K232" s="664"/>
      <c r="L232" s="665"/>
      <c r="M232" s="38"/>
      <c r="Q232" s="10"/>
    </row>
    <row r="233" spans="1:21" s="38" customFormat="1" x14ac:dyDescent="0.25">
      <c r="A233" s="94"/>
      <c r="B233" s="50"/>
      <c r="C233" s="51"/>
      <c r="D233" s="51"/>
      <c r="E233" s="51"/>
      <c r="F233" s="51"/>
      <c r="G233" s="51"/>
      <c r="H233" s="51"/>
      <c r="I233" s="51"/>
      <c r="J233" s="51"/>
      <c r="K233" s="51"/>
      <c r="L233" s="52"/>
      <c r="O233" s="10"/>
      <c r="P233" s="10"/>
      <c r="Q233" s="10"/>
      <c r="R233" s="10"/>
      <c r="S233" s="10"/>
      <c r="T233" s="10"/>
      <c r="U233" s="10"/>
    </row>
    <row r="234" spans="1:21" s="11" customFormat="1" x14ac:dyDescent="0.25">
      <c r="A234" s="7"/>
      <c r="B234" s="674" t="s">
        <v>57</v>
      </c>
      <c r="C234" s="675"/>
      <c r="D234" s="675"/>
      <c r="E234" s="675"/>
      <c r="F234" s="675"/>
      <c r="G234" s="675"/>
      <c r="H234" s="675"/>
      <c r="I234" s="675"/>
      <c r="J234" s="675"/>
      <c r="K234" s="675"/>
      <c r="L234" s="676"/>
      <c r="M234" s="73"/>
    </row>
    <row r="235" spans="1:21" s="38" customFormat="1" x14ac:dyDescent="0.25">
      <c r="A235" s="94"/>
      <c r="B235" s="53"/>
      <c r="C235" s="93"/>
      <c r="D235" s="93"/>
      <c r="E235" s="93"/>
      <c r="F235" s="93"/>
      <c r="G235" s="93"/>
      <c r="H235" s="93"/>
      <c r="I235" s="93"/>
      <c r="J235" s="93"/>
      <c r="K235" s="93"/>
      <c r="L235" s="54"/>
      <c r="O235" s="10"/>
      <c r="P235" s="10"/>
      <c r="Q235" s="10"/>
      <c r="R235" s="10"/>
      <c r="S235" s="10"/>
      <c r="T235" s="10"/>
      <c r="U235" s="10"/>
    </row>
    <row r="236" spans="1:21" s="38" customFormat="1" x14ac:dyDescent="0.25">
      <c r="A236" s="94"/>
      <c r="B236" s="654" t="str">
        <f>IF(Intro!$G$20="English",O236,P236)</f>
        <v>Dans quelle mesure les marchandises produites au Canada sont-elles comparables en prix aux marchandises importées de l'Autriche?</v>
      </c>
      <c r="C236" s="655"/>
      <c r="D236" s="655"/>
      <c r="E236" s="655"/>
      <c r="F236" s="655"/>
      <c r="G236" s="655"/>
      <c r="H236" s="655"/>
      <c r="I236" s="655"/>
      <c r="J236" s="655"/>
      <c r="K236" s="655"/>
      <c r="L236" s="656"/>
      <c r="O236" s="10" t="str">
        <f>"To what extent are the goods produced in Canada comparable in price with the imported goods from "&amp;Variables!B5&amp;"?"</f>
        <v>To what extent are the goods produced in Canada comparable in price with the imported goods from Austria?</v>
      </c>
      <c r="P236" s="10" t="str">
        <f>"Dans quelle mesure les marchandises produites au Canada sont-elles comparables en prix aux marchandises importées "&amp;Variables!C5&amp;"?"</f>
        <v>Dans quelle mesure les marchandises produites au Canada sont-elles comparables en prix aux marchandises importées de l'Autriche?</v>
      </c>
      <c r="Q236" s="10"/>
      <c r="R236" s="10"/>
      <c r="S236" s="10"/>
      <c r="T236" s="10"/>
      <c r="U236" s="10"/>
    </row>
    <row r="237" spans="1:21" s="38" customFormat="1" x14ac:dyDescent="0.25">
      <c r="A237" s="94"/>
      <c r="B237" s="53"/>
      <c r="C237" s="93"/>
      <c r="D237" s="93"/>
      <c r="E237" s="93"/>
      <c r="F237" s="93"/>
      <c r="G237" s="93"/>
      <c r="H237" s="93"/>
      <c r="I237" s="93"/>
      <c r="J237" s="93"/>
      <c r="K237" s="93"/>
      <c r="L237" s="54"/>
      <c r="O237" s="10"/>
      <c r="P237" s="10"/>
      <c r="Q237" s="10"/>
      <c r="R237" s="10"/>
      <c r="S237" s="10"/>
      <c r="T237" s="10"/>
      <c r="U237" s="10"/>
    </row>
    <row r="238" spans="1:21" s="11" customFormat="1" x14ac:dyDescent="0.25">
      <c r="A238" s="8"/>
      <c r="B238" s="663"/>
      <c r="C238" s="664"/>
      <c r="D238" s="664"/>
      <c r="E238" s="664"/>
      <c r="F238" s="664"/>
      <c r="G238" s="664"/>
      <c r="H238" s="664"/>
      <c r="I238" s="664"/>
      <c r="J238" s="664"/>
      <c r="K238" s="664"/>
      <c r="L238" s="665"/>
      <c r="M238" s="38"/>
      <c r="Q238" s="10"/>
    </row>
    <row r="239" spans="1:21" s="11" customFormat="1" x14ac:dyDescent="0.25">
      <c r="A239" s="8"/>
      <c r="B239" s="663"/>
      <c r="C239" s="664"/>
      <c r="D239" s="664"/>
      <c r="E239" s="664"/>
      <c r="F239" s="664"/>
      <c r="G239" s="664"/>
      <c r="H239" s="664"/>
      <c r="I239" s="664"/>
      <c r="J239" s="664"/>
      <c r="K239" s="664"/>
      <c r="L239" s="665"/>
      <c r="M239" s="38"/>
      <c r="Q239" s="10"/>
    </row>
    <row r="240" spans="1:21" s="11" customFormat="1" x14ac:dyDescent="0.25">
      <c r="A240" s="8"/>
      <c r="B240" s="663"/>
      <c r="C240" s="664"/>
      <c r="D240" s="664"/>
      <c r="E240" s="664"/>
      <c r="F240" s="664"/>
      <c r="G240" s="664"/>
      <c r="H240" s="664"/>
      <c r="I240" s="664"/>
      <c r="J240" s="664"/>
      <c r="K240" s="664"/>
      <c r="L240" s="665"/>
      <c r="M240" s="38"/>
      <c r="Q240" s="10"/>
    </row>
    <row r="241" spans="1:21" s="11" customFormat="1" x14ac:dyDescent="0.25">
      <c r="A241" s="8"/>
      <c r="B241" s="663"/>
      <c r="C241" s="664"/>
      <c r="D241" s="664"/>
      <c r="E241" s="664"/>
      <c r="F241" s="664"/>
      <c r="G241" s="664"/>
      <c r="H241" s="664"/>
      <c r="I241" s="664"/>
      <c r="J241" s="664"/>
      <c r="K241" s="664"/>
      <c r="L241" s="665"/>
      <c r="M241" s="38"/>
      <c r="Q241" s="10"/>
    </row>
    <row r="242" spans="1:21" s="11" customFormat="1" x14ac:dyDescent="0.25">
      <c r="A242" s="8"/>
      <c r="B242" s="663"/>
      <c r="C242" s="664"/>
      <c r="D242" s="664"/>
      <c r="E242" s="664"/>
      <c r="F242" s="664"/>
      <c r="G242" s="664"/>
      <c r="H242" s="664"/>
      <c r="I242" s="664"/>
      <c r="J242" s="664"/>
      <c r="K242" s="664"/>
      <c r="L242" s="665"/>
      <c r="M242" s="38"/>
      <c r="Q242" s="10"/>
    </row>
    <row r="243" spans="1:21" s="11" customFormat="1" x14ac:dyDescent="0.25">
      <c r="A243" s="8"/>
      <c r="B243" s="663"/>
      <c r="C243" s="664"/>
      <c r="D243" s="664"/>
      <c r="E243" s="664"/>
      <c r="F243" s="664"/>
      <c r="G243" s="664"/>
      <c r="H243" s="664"/>
      <c r="I243" s="664"/>
      <c r="J243" s="664"/>
      <c r="K243" s="664"/>
      <c r="L243" s="665"/>
      <c r="M243" s="38"/>
      <c r="Q243" s="10"/>
    </row>
    <row r="244" spans="1:21" s="11" customFormat="1" x14ac:dyDescent="0.25">
      <c r="A244" s="8"/>
      <c r="B244" s="663"/>
      <c r="C244" s="664"/>
      <c r="D244" s="664"/>
      <c r="E244" s="664"/>
      <c r="F244" s="664"/>
      <c r="G244" s="664"/>
      <c r="H244" s="664"/>
      <c r="I244" s="664"/>
      <c r="J244" s="664"/>
      <c r="K244" s="664"/>
      <c r="L244" s="665"/>
      <c r="M244" s="38"/>
      <c r="Q244" s="10"/>
    </row>
    <row r="245" spans="1:21" s="11" customFormat="1" x14ac:dyDescent="0.25">
      <c r="A245" s="8"/>
      <c r="B245" s="663"/>
      <c r="C245" s="664"/>
      <c r="D245" s="664"/>
      <c r="E245" s="664"/>
      <c r="F245" s="664"/>
      <c r="G245" s="664"/>
      <c r="H245" s="664"/>
      <c r="I245" s="664"/>
      <c r="J245" s="664"/>
      <c r="K245" s="664"/>
      <c r="L245" s="665"/>
      <c r="M245" s="38"/>
      <c r="Q245" s="10"/>
    </row>
    <row r="246" spans="1:21" s="38" customFormat="1" x14ac:dyDescent="0.25">
      <c r="A246" s="94"/>
      <c r="B246" s="50"/>
      <c r="C246" s="51"/>
      <c r="D246" s="51"/>
      <c r="E246" s="51"/>
      <c r="F246" s="51"/>
      <c r="G246" s="51"/>
      <c r="H246" s="51"/>
      <c r="I246" s="51"/>
      <c r="J246" s="51"/>
      <c r="K246" s="51"/>
      <c r="L246" s="52"/>
      <c r="O246" s="10"/>
      <c r="P246" s="10"/>
      <c r="Q246" s="10"/>
      <c r="R246" s="10"/>
      <c r="S246" s="10"/>
      <c r="T246" s="10"/>
      <c r="U246" s="10"/>
    </row>
    <row r="247" spans="1:21" s="11" customFormat="1" x14ac:dyDescent="0.25">
      <c r="A247" s="7"/>
      <c r="B247" s="674" t="s">
        <v>55</v>
      </c>
      <c r="C247" s="675"/>
      <c r="D247" s="675"/>
      <c r="E247" s="675"/>
      <c r="F247" s="675"/>
      <c r="G247" s="675"/>
      <c r="H247" s="675"/>
      <c r="I247" s="675"/>
      <c r="J247" s="675"/>
      <c r="K247" s="675"/>
      <c r="L247" s="676"/>
      <c r="M247" s="73"/>
    </row>
    <row r="248" spans="1:21" s="38" customFormat="1" x14ac:dyDescent="0.25">
      <c r="A248" s="94"/>
      <c r="B248" s="53"/>
      <c r="C248" s="93"/>
      <c r="D248" s="93"/>
      <c r="E248" s="93"/>
      <c r="F248" s="93"/>
      <c r="G248" s="93"/>
      <c r="H248" s="93"/>
      <c r="I248" s="93"/>
      <c r="J248" s="93"/>
      <c r="K248" s="93"/>
      <c r="L248" s="54"/>
      <c r="O248" s="10"/>
      <c r="P248" s="10"/>
      <c r="Q248" s="10"/>
      <c r="R248" s="10"/>
      <c r="S248" s="10"/>
      <c r="T248" s="10"/>
      <c r="U248" s="10"/>
    </row>
    <row r="249" spans="1:21" s="38" customFormat="1" x14ac:dyDescent="0.25">
      <c r="A249" s="94"/>
      <c r="B249" s="530" t="str">
        <f>IF(Intro!$G$20="English",O249,P249)</f>
        <v>Dans quelle mesure les marchandises produites au Canada sont-elles comparables en termes de facteurs autres que le prix (y compris la qualité du produit, les délais d'exécution et de livraison, la fiabilité de l'approvisionnement, etc.) avec les marchandises importées de l'Autriche?</v>
      </c>
      <c r="C249" s="531"/>
      <c r="D249" s="531"/>
      <c r="E249" s="531"/>
      <c r="F249" s="531"/>
      <c r="G249" s="531"/>
      <c r="H249" s="531"/>
      <c r="I249" s="531"/>
      <c r="J249" s="531"/>
      <c r="K249" s="531"/>
      <c r="L249" s="532"/>
      <c r="O249" s="10" t="str">
        <f>"To what extent are the goods produced in Canada comparable in non-price factors (including product quality, lead and delivery times, reliability of supply, etc.) with the imported goods from "&amp;Variables!B5&amp;"?"</f>
        <v>To what extent are the goods produced in Canada comparable in non-price factors (including product quality, lead and delivery times, reliability of supply, etc.) with the imported goods from Austria?</v>
      </c>
      <c r="P249" s="10" t="str">
        <f>"Dans quelle mesure les marchandises produites au Canada sont-elles comparables en termes de facteurs autres que le prix (y compris la qualité du produit, les délais d'exécution et de livraison, la fiabilité de l'approvisionnement, etc.)"&amp;" avec les marchandises importées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 l'Autriche?</v>
      </c>
      <c r="Q249" s="10"/>
      <c r="R249" s="10"/>
      <c r="S249" s="10"/>
      <c r="T249" s="10"/>
      <c r="U249" s="10"/>
    </row>
    <row r="250" spans="1:21" s="38" customFormat="1" x14ac:dyDescent="0.25">
      <c r="A250" s="94"/>
      <c r="B250" s="530"/>
      <c r="C250" s="531"/>
      <c r="D250" s="531"/>
      <c r="E250" s="531"/>
      <c r="F250" s="531"/>
      <c r="G250" s="531"/>
      <c r="H250" s="531"/>
      <c r="I250" s="531"/>
      <c r="J250" s="531"/>
      <c r="K250" s="531"/>
      <c r="L250" s="532"/>
      <c r="O250" s="10"/>
      <c r="P250" s="10"/>
      <c r="Q250" s="10"/>
      <c r="R250" s="10"/>
      <c r="S250" s="10"/>
      <c r="T250" s="10"/>
      <c r="U250" s="10"/>
    </row>
    <row r="251" spans="1:21" s="38" customFormat="1" x14ac:dyDescent="0.25">
      <c r="A251" s="94"/>
      <c r="B251" s="53"/>
      <c r="C251" s="93"/>
      <c r="D251" s="93"/>
      <c r="E251" s="93"/>
      <c r="F251" s="93"/>
      <c r="G251" s="93"/>
      <c r="H251" s="93"/>
      <c r="I251" s="93"/>
      <c r="J251" s="93"/>
      <c r="K251" s="93"/>
      <c r="L251" s="54"/>
      <c r="O251" s="10"/>
      <c r="P251" s="10"/>
      <c r="Q251" s="10"/>
      <c r="R251" s="10"/>
      <c r="S251" s="10"/>
      <c r="T251" s="10"/>
      <c r="U251" s="10"/>
    </row>
    <row r="252" spans="1:21" s="11" customFormat="1" x14ac:dyDescent="0.25">
      <c r="A252" s="8"/>
      <c r="B252" s="663"/>
      <c r="C252" s="664"/>
      <c r="D252" s="664"/>
      <c r="E252" s="664"/>
      <c r="F252" s="664"/>
      <c r="G252" s="664"/>
      <c r="H252" s="664"/>
      <c r="I252" s="664"/>
      <c r="J252" s="664"/>
      <c r="K252" s="664"/>
      <c r="L252" s="665"/>
      <c r="M252" s="38"/>
      <c r="Q252" s="10"/>
    </row>
    <row r="253" spans="1:21" s="11" customFormat="1" x14ac:dyDescent="0.25">
      <c r="A253" s="8"/>
      <c r="B253" s="663"/>
      <c r="C253" s="664"/>
      <c r="D253" s="664"/>
      <c r="E253" s="664"/>
      <c r="F253" s="664"/>
      <c r="G253" s="664"/>
      <c r="H253" s="664"/>
      <c r="I253" s="664"/>
      <c r="J253" s="664"/>
      <c r="K253" s="664"/>
      <c r="L253" s="665"/>
      <c r="M253" s="38"/>
      <c r="Q253" s="10"/>
    </row>
    <row r="254" spans="1:21" s="11" customFormat="1" x14ac:dyDescent="0.25">
      <c r="A254" s="8"/>
      <c r="B254" s="663"/>
      <c r="C254" s="664"/>
      <c r="D254" s="664"/>
      <c r="E254" s="664"/>
      <c r="F254" s="664"/>
      <c r="G254" s="664"/>
      <c r="H254" s="664"/>
      <c r="I254" s="664"/>
      <c r="J254" s="664"/>
      <c r="K254" s="664"/>
      <c r="L254" s="665"/>
      <c r="M254" s="38"/>
      <c r="Q254" s="10"/>
    </row>
    <row r="255" spans="1:21" s="11" customFormat="1" x14ac:dyDescent="0.25">
      <c r="A255" s="8"/>
      <c r="B255" s="663"/>
      <c r="C255" s="664"/>
      <c r="D255" s="664"/>
      <c r="E255" s="664"/>
      <c r="F255" s="664"/>
      <c r="G255" s="664"/>
      <c r="H255" s="664"/>
      <c r="I255" s="664"/>
      <c r="J255" s="664"/>
      <c r="K255" s="664"/>
      <c r="L255" s="665"/>
      <c r="M255" s="38"/>
      <c r="Q255" s="10"/>
    </row>
    <row r="256" spans="1:21" s="11" customFormat="1" x14ac:dyDescent="0.25">
      <c r="A256" s="8"/>
      <c r="B256" s="663"/>
      <c r="C256" s="664"/>
      <c r="D256" s="664"/>
      <c r="E256" s="664"/>
      <c r="F256" s="664"/>
      <c r="G256" s="664"/>
      <c r="H256" s="664"/>
      <c r="I256" s="664"/>
      <c r="J256" s="664"/>
      <c r="K256" s="664"/>
      <c r="L256" s="665"/>
      <c r="M256" s="38"/>
      <c r="Q256" s="10"/>
    </row>
    <row r="257" spans="1:21" s="11" customFormat="1" x14ac:dyDescent="0.25">
      <c r="A257" s="8"/>
      <c r="B257" s="663"/>
      <c r="C257" s="664"/>
      <c r="D257" s="664"/>
      <c r="E257" s="664"/>
      <c r="F257" s="664"/>
      <c r="G257" s="664"/>
      <c r="H257" s="664"/>
      <c r="I257" s="664"/>
      <c r="J257" s="664"/>
      <c r="K257" s="664"/>
      <c r="L257" s="665"/>
      <c r="M257" s="38"/>
      <c r="Q257" s="10"/>
    </row>
    <row r="258" spans="1:21" s="11" customFormat="1" x14ac:dyDescent="0.25">
      <c r="A258" s="8"/>
      <c r="B258" s="663"/>
      <c r="C258" s="664"/>
      <c r="D258" s="664"/>
      <c r="E258" s="664"/>
      <c r="F258" s="664"/>
      <c r="G258" s="664"/>
      <c r="H258" s="664"/>
      <c r="I258" s="664"/>
      <c r="J258" s="664"/>
      <c r="K258" s="664"/>
      <c r="L258" s="665"/>
      <c r="M258" s="38"/>
      <c r="Q258" s="10"/>
    </row>
    <row r="259" spans="1:21" s="11" customFormat="1" x14ac:dyDescent="0.25">
      <c r="A259" s="8"/>
      <c r="B259" s="663"/>
      <c r="C259" s="664"/>
      <c r="D259" s="664"/>
      <c r="E259" s="664"/>
      <c r="F259" s="664"/>
      <c r="G259" s="664"/>
      <c r="H259" s="664"/>
      <c r="I259" s="664"/>
      <c r="J259" s="664"/>
      <c r="K259" s="664"/>
      <c r="L259" s="665"/>
      <c r="M259" s="38"/>
      <c r="Q259" s="10"/>
    </row>
    <row r="260" spans="1:21" s="38" customFormat="1" x14ac:dyDescent="0.25">
      <c r="A260" s="94"/>
      <c r="B260" s="50"/>
      <c r="C260" s="51"/>
      <c r="D260" s="51"/>
      <c r="E260" s="51"/>
      <c r="F260" s="51"/>
      <c r="G260" s="51"/>
      <c r="H260" s="51"/>
      <c r="I260" s="51"/>
      <c r="J260" s="51"/>
      <c r="K260" s="51"/>
      <c r="L260" s="52"/>
      <c r="O260" s="10"/>
      <c r="P260" s="10"/>
      <c r="Q260" s="10"/>
      <c r="R260" s="10"/>
      <c r="S260" s="10"/>
      <c r="T260" s="10"/>
      <c r="U260" s="10"/>
    </row>
    <row r="261" spans="1:21" x14ac:dyDescent="0.25">
      <c r="A261" s="7"/>
    </row>
    <row r="262" spans="1:21" x14ac:dyDescent="0.25">
      <c r="A262" s="7"/>
      <c r="B262" s="533" t="str">
        <f>IF(Intro!$G$20="English",O262,P262)</f>
        <v>VENTES</v>
      </c>
      <c r="C262" s="534"/>
      <c r="D262" s="534"/>
      <c r="E262" s="534"/>
      <c r="F262" s="534"/>
      <c r="G262" s="534"/>
      <c r="H262" s="534"/>
      <c r="I262" s="534"/>
      <c r="J262" s="534"/>
      <c r="K262" s="534"/>
      <c r="L262" s="535"/>
      <c r="M262" s="38"/>
      <c r="O262" s="10" t="s">
        <v>324</v>
      </c>
      <c r="P262" s="10" t="s">
        <v>325</v>
      </c>
    </row>
    <row r="263" spans="1:21" s="11" customFormat="1" x14ac:dyDescent="0.25">
      <c r="A263" s="7"/>
      <c r="B263" s="671" t="s">
        <v>76</v>
      </c>
      <c r="C263" s="672"/>
      <c r="D263" s="672"/>
      <c r="E263" s="672"/>
      <c r="F263" s="672"/>
      <c r="G263" s="672"/>
      <c r="H263" s="672"/>
      <c r="I263" s="672"/>
      <c r="J263" s="672"/>
      <c r="K263" s="672"/>
      <c r="L263" s="673"/>
      <c r="M263" s="73"/>
    </row>
    <row r="264" spans="1:21" s="38" customFormat="1" x14ac:dyDescent="0.25">
      <c r="A264" s="94"/>
      <c r="B264" s="53"/>
      <c r="C264" s="93"/>
      <c r="D264" s="93"/>
      <c r="E264" s="93"/>
      <c r="F264" s="93"/>
      <c r="G264" s="93"/>
      <c r="H264" s="93"/>
      <c r="I264" s="93"/>
      <c r="J264" s="93"/>
      <c r="K264" s="93"/>
      <c r="L264" s="54"/>
      <c r="O264" s="10"/>
      <c r="P264" s="10"/>
      <c r="Q264" s="10"/>
      <c r="R264" s="10"/>
      <c r="S264" s="10"/>
      <c r="T264" s="10"/>
      <c r="U264" s="10"/>
    </row>
    <row r="265" spans="1:21" s="38" customFormat="1" x14ac:dyDescent="0.25">
      <c r="A265" s="94"/>
      <c r="B265" s="654" t="str">
        <f>IF(Intro!$G$20="English",O265,P265)</f>
        <v>Décrivez tout changement dans les canaux de distribution de votre entreprise depuis le 1er janvier 2023.</v>
      </c>
      <c r="C265" s="655"/>
      <c r="D265" s="655"/>
      <c r="E265" s="655"/>
      <c r="F265" s="655"/>
      <c r="G265" s="655"/>
      <c r="H265" s="655"/>
      <c r="I265" s="655"/>
      <c r="J265" s="655"/>
      <c r="K265" s="655"/>
      <c r="L265" s="656"/>
      <c r="O265" s="10" t="str">
        <f>"Describe any changes in your firm's channels of distribution since January 1, "&amp;Variables!B6&amp;"."</f>
        <v>Describe any changes in your firm's channels of distribution since January 1, 2023.</v>
      </c>
      <c r="P265" s="10" t="str">
        <f>"Décrivez tout changement dans les canaux de distribution de votre entreprise depuis le 1er janvier "&amp;Variables!B6&amp;"."</f>
        <v>Décrivez tout changement dans les canaux de distribution de votre entreprise depuis le 1er janvier 2023.</v>
      </c>
      <c r="Q265" s="10"/>
      <c r="R265" s="10"/>
      <c r="S265" s="10"/>
      <c r="T265" s="10"/>
      <c r="U265" s="10"/>
    </row>
    <row r="266" spans="1:21" s="38" customFormat="1" x14ac:dyDescent="0.25">
      <c r="A266" s="94"/>
      <c r="B266" s="53"/>
      <c r="C266" s="93"/>
      <c r="D266" s="93"/>
      <c r="E266" s="93"/>
      <c r="F266" s="93"/>
      <c r="G266" s="93"/>
      <c r="H266" s="93"/>
      <c r="I266" s="93"/>
      <c r="J266" s="93"/>
      <c r="K266" s="93"/>
      <c r="L266" s="54"/>
      <c r="O266" s="10"/>
      <c r="P266" s="10"/>
      <c r="Q266" s="10"/>
      <c r="R266" s="10"/>
      <c r="S266" s="10"/>
      <c r="T266" s="10"/>
      <c r="U266" s="10"/>
    </row>
    <row r="267" spans="1:21" s="11" customFormat="1" x14ac:dyDescent="0.25">
      <c r="A267" s="8"/>
      <c r="B267" s="663"/>
      <c r="C267" s="664"/>
      <c r="D267" s="664"/>
      <c r="E267" s="664"/>
      <c r="F267" s="664"/>
      <c r="G267" s="664"/>
      <c r="H267" s="664"/>
      <c r="I267" s="664"/>
      <c r="J267" s="664"/>
      <c r="K267" s="664"/>
      <c r="L267" s="665"/>
      <c r="M267" s="38"/>
      <c r="Q267" s="10"/>
    </row>
    <row r="268" spans="1:21" s="11" customFormat="1" x14ac:dyDescent="0.25">
      <c r="A268" s="8"/>
      <c r="B268" s="663"/>
      <c r="C268" s="664"/>
      <c r="D268" s="664"/>
      <c r="E268" s="664"/>
      <c r="F268" s="664"/>
      <c r="G268" s="664"/>
      <c r="H268" s="664"/>
      <c r="I268" s="664"/>
      <c r="J268" s="664"/>
      <c r="K268" s="664"/>
      <c r="L268" s="665"/>
      <c r="M268" s="38"/>
      <c r="Q268" s="10"/>
    </row>
    <row r="269" spans="1:21" s="11" customFormat="1" x14ac:dyDescent="0.25">
      <c r="A269" s="8"/>
      <c r="B269" s="663"/>
      <c r="C269" s="664"/>
      <c r="D269" s="664"/>
      <c r="E269" s="664"/>
      <c r="F269" s="664"/>
      <c r="G269" s="664"/>
      <c r="H269" s="664"/>
      <c r="I269" s="664"/>
      <c r="J269" s="664"/>
      <c r="K269" s="664"/>
      <c r="L269" s="665"/>
      <c r="M269" s="38"/>
      <c r="Q269" s="10"/>
    </row>
    <row r="270" spans="1:21" s="11" customFormat="1" x14ac:dyDescent="0.25">
      <c r="A270" s="8"/>
      <c r="B270" s="663"/>
      <c r="C270" s="664"/>
      <c r="D270" s="664"/>
      <c r="E270" s="664"/>
      <c r="F270" s="664"/>
      <c r="G270" s="664"/>
      <c r="H270" s="664"/>
      <c r="I270" s="664"/>
      <c r="J270" s="664"/>
      <c r="K270" s="664"/>
      <c r="L270" s="665"/>
      <c r="M270" s="38"/>
      <c r="Q270" s="10"/>
    </row>
    <row r="271" spans="1:21" s="11" customFormat="1" x14ac:dyDescent="0.25">
      <c r="A271" s="8"/>
      <c r="B271" s="663"/>
      <c r="C271" s="664"/>
      <c r="D271" s="664"/>
      <c r="E271" s="664"/>
      <c r="F271" s="664"/>
      <c r="G271" s="664"/>
      <c r="H271" s="664"/>
      <c r="I271" s="664"/>
      <c r="J271" s="664"/>
      <c r="K271" s="664"/>
      <c r="L271" s="665"/>
      <c r="M271" s="38"/>
      <c r="Q271" s="10"/>
    </row>
    <row r="272" spans="1:21" s="11" customFormat="1" x14ac:dyDescent="0.25">
      <c r="A272" s="8"/>
      <c r="B272" s="663"/>
      <c r="C272" s="664"/>
      <c r="D272" s="664"/>
      <c r="E272" s="664"/>
      <c r="F272" s="664"/>
      <c r="G272" s="664"/>
      <c r="H272" s="664"/>
      <c r="I272" s="664"/>
      <c r="J272" s="664"/>
      <c r="K272" s="664"/>
      <c r="L272" s="665"/>
      <c r="M272" s="38"/>
      <c r="Q272" s="10"/>
    </row>
    <row r="273" spans="1:21" s="11" customFormat="1" x14ac:dyDescent="0.25">
      <c r="A273" s="8"/>
      <c r="B273" s="663"/>
      <c r="C273" s="664"/>
      <c r="D273" s="664"/>
      <c r="E273" s="664"/>
      <c r="F273" s="664"/>
      <c r="G273" s="664"/>
      <c r="H273" s="664"/>
      <c r="I273" s="664"/>
      <c r="J273" s="664"/>
      <c r="K273" s="664"/>
      <c r="L273" s="665"/>
      <c r="M273" s="38"/>
      <c r="Q273" s="10"/>
    </row>
    <row r="274" spans="1:21" s="11" customFormat="1" x14ac:dyDescent="0.25">
      <c r="A274" s="8"/>
      <c r="B274" s="663"/>
      <c r="C274" s="664"/>
      <c r="D274" s="664"/>
      <c r="E274" s="664"/>
      <c r="F274" s="664"/>
      <c r="G274" s="664"/>
      <c r="H274" s="664"/>
      <c r="I274" s="664"/>
      <c r="J274" s="664"/>
      <c r="K274" s="664"/>
      <c r="L274" s="665"/>
      <c r="M274" s="38"/>
      <c r="Q274" s="10"/>
    </row>
    <row r="275" spans="1:21" s="38" customFormat="1" x14ac:dyDescent="0.25">
      <c r="A275" s="94"/>
      <c r="B275" s="50"/>
      <c r="C275" s="51"/>
      <c r="D275" s="51"/>
      <c r="E275" s="51"/>
      <c r="F275" s="51"/>
      <c r="G275" s="51"/>
      <c r="H275" s="51"/>
      <c r="I275" s="51"/>
      <c r="J275" s="51"/>
      <c r="K275" s="51"/>
      <c r="L275" s="52"/>
      <c r="O275" s="10"/>
      <c r="P275" s="10"/>
      <c r="Q275" s="10"/>
      <c r="R275" s="10"/>
      <c r="S275" s="10"/>
      <c r="T275" s="10"/>
      <c r="U275" s="10"/>
    </row>
    <row r="276" spans="1:21" s="11" customFormat="1" x14ac:dyDescent="0.25">
      <c r="A276" s="7"/>
      <c r="B276" s="674" t="s">
        <v>77</v>
      </c>
      <c r="C276" s="675"/>
      <c r="D276" s="675"/>
      <c r="E276" s="675"/>
      <c r="F276" s="675"/>
      <c r="G276" s="675"/>
      <c r="H276" s="675"/>
      <c r="I276" s="675"/>
      <c r="J276" s="675"/>
      <c r="K276" s="675"/>
      <c r="L276" s="676"/>
      <c r="M276" s="73"/>
    </row>
    <row r="277" spans="1:21" s="38" customFormat="1" x14ac:dyDescent="0.25">
      <c r="A277" s="94"/>
      <c r="B277" s="53"/>
      <c r="C277" s="93"/>
      <c r="D277" s="93"/>
      <c r="E277" s="93"/>
      <c r="F277" s="93"/>
      <c r="G277" s="93"/>
      <c r="H277" s="93"/>
      <c r="I277" s="93"/>
      <c r="J277" s="93"/>
      <c r="K277" s="93"/>
      <c r="L277" s="54"/>
      <c r="O277" s="10"/>
      <c r="P277" s="10"/>
      <c r="Q277" s="10"/>
      <c r="R277" s="10"/>
      <c r="S277" s="10"/>
      <c r="T277" s="10"/>
      <c r="U277" s="10"/>
    </row>
    <row r="278" spans="1:21" s="38" customFormat="1" x14ac:dyDescent="0.25">
      <c r="A278" s="94"/>
      <c r="B278" s="527" t="str">
        <f>IF(Intro!$G$20="English",O278,P278)</f>
        <v>Comment votre entreprise favorise-t-elle les ventes des marchandises sur le marché canadien? Vos méthodes ont-elles changées depuis le 1er janvier 2023?</v>
      </c>
      <c r="C278" s="528"/>
      <c r="D278" s="528"/>
      <c r="E278" s="528"/>
      <c r="F278" s="528"/>
      <c r="G278" s="528"/>
      <c r="H278" s="528"/>
      <c r="I278" s="528"/>
      <c r="J278" s="528"/>
      <c r="K278" s="528"/>
      <c r="L278" s="529"/>
      <c r="O278" s="10" t="str">
        <f>"How does your firm promote sales of the goods in the Canadian market? Have these methods changed since January 1, "&amp;Variables!B6&amp;"?"</f>
        <v>How does your firm promote sales of the goods in the Canadian market? Have these methods changed since January 1, 2023?</v>
      </c>
      <c r="P278" s="10"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c r="Q278" s="10"/>
      <c r="R278" s="10"/>
      <c r="S278" s="10"/>
      <c r="T278" s="10"/>
      <c r="U278" s="10"/>
    </row>
    <row r="279" spans="1:21" s="38" customFormat="1" x14ac:dyDescent="0.25">
      <c r="A279" s="94"/>
      <c r="B279" s="53"/>
      <c r="C279" s="93"/>
      <c r="D279" s="93"/>
      <c r="E279" s="93"/>
      <c r="F279" s="93"/>
      <c r="G279" s="93"/>
      <c r="H279" s="93"/>
      <c r="I279" s="93"/>
      <c r="J279" s="93"/>
      <c r="K279" s="93"/>
      <c r="L279" s="54"/>
      <c r="O279" s="10"/>
      <c r="P279" s="10"/>
      <c r="Q279" s="10"/>
      <c r="R279" s="10"/>
      <c r="S279" s="10"/>
      <c r="T279" s="10"/>
      <c r="U279" s="10"/>
    </row>
    <row r="280" spans="1:21" s="11" customFormat="1" x14ac:dyDescent="0.25">
      <c r="A280" s="8"/>
      <c r="B280" s="663"/>
      <c r="C280" s="664"/>
      <c r="D280" s="664"/>
      <c r="E280" s="664"/>
      <c r="F280" s="664"/>
      <c r="G280" s="664"/>
      <c r="H280" s="664"/>
      <c r="I280" s="664"/>
      <c r="J280" s="664"/>
      <c r="K280" s="664"/>
      <c r="L280" s="665"/>
      <c r="M280" s="38"/>
      <c r="Q280" s="10"/>
    </row>
    <row r="281" spans="1:21" s="11" customFormat="1" x14ac:dyDescent="0.25">
      <c r="A281" s="8"/>
      <c r="B281" s="663"/>
      <c r="C281" s="664"/>
      <c r="D281" s="664"/>
      <c r="E281" s="664"/>
      <c r="F281" s="664"/>
      <c r="G281" s="664"/>
      <c r="H281" s="664"/>
      <c r="I281" s="664"/>
      <c r="J281" s="664"/>
      <c r="K281" s="664"/>
      <c r="L281" s="665"/>
      <c r="M281" s="38"/>
      <c r="Q281" s="10"/>
    </row>
    <row r="282" spans="1:21" s="11" customFormat="1" x14ac:dyDescent="0.25">
      <c r="A282" s="8"/>
      <c r="B282" s="663"/>
      <c r="C282" s="664"/>
      <c r="D282" s="664"/>
      <c r="E282" s="664"/>
      <c r="F282" s="664"/>
      <c r="G282" s="664"/>
      <c r="H282" s="664"/>
      <c r="I282" s="664"/>
      <c r="J282" s="664"/>
      <c r="K282" s="664"/>
      <c r="L282" s="665"/>
      <c r="M282" s="38"/>
      <c r="Q282" s="10"/>
    </row>
    <row r="283" spans="1:21" s="11" customFormat="1" x14ac:dyDescent="0.25">
      <c r="A283" s="8"/>
      <c r="B283" s="663"/>
      <c r="C283" s="664"/>
      <c r="D283" s="664"/>
      <c r="E283" s="664"/>
      <c r="F283" s="664"/>
      <c r="G283" s="664"/>
      <c r="H283" s="664"/>
      <c r="I283" s="664"/>
      <c r="J283" s="664"/>
      <c r="K283" s="664"/>
      <c r="L283" s="665"/>
      <c r="M283" s="38"/>
      <c r="Q283" s="10"/>
    </row>
    <row r="284" spans="1:21" s="11" customFormat="1" x14ac:dyDescent="0.25">
      <c r="A284" s="8"/>
      <c r="B284" s="663"/>
      <c r="C284" s="664"/>
      <c r="D284" s="664"/>
      <c r="E284" s="664"/>
      <c r="F284" s="664"/>
      <c r="G284" s="664"/>
      <c r="H284" s="664"/>
      <c r="I284" s="664"/>
      <c r="J284" s="664"/>
      <c r="K284" s="664"/>
      <c r="L284" s="665"/>
      <c r="M284" s="38"/>
      <c r="Q284" s="10"/>
    </row>
    <row r="285" spans="1:21" s="11" customFormat="1" x14ac:dyDescent="0.25">
      <c r="A285" s="8"/>
      <c r="B285" s="663"/>
      <c r="C285" s="664"/>
      <c r="D285" s="664"/>
      <c r="E285" s="664"/>
      <c r="F285" s="664"/>
      <c r="G285" s="664"/>
      <c r="H285" s="664"/>
      <c r="I285" s="664"/>
      <c r="J285" s="664"/>
      <c r="K285" s="664"/>
      <c r="L285" s="665"/>
      <c r="M285" s="38"/>
      <c r="Q285" s="10"/>
    </row>
    <row r="286" spans="1:21" s="11" customFormat="1" x14ac:dyDescent="0.25">
      <c r="A286" s="8"/>
      <c r="B286" s="663"/>
      <c r="C286" s="664"/>
      <c r="D286" s="664"/>
      <c r="E286" s="664"/>
      <c r="F286" s="664"/>
      <c r="G286" s="664"/>
      <c r="H286" s="664"/>
      <c r="I286" s="664"/>
      <c r="J286" s="664"/>
      <c r="K286" s="664"/>
      <c r="L286" s="665"/>
      <c r="M286" s="38"/>
      <c r="Q286" s="10"/>
    </row>
    <row r="287" spans="1:21" s="11" customFormat="1" x14ac:dyDescent="0.25">
      <c r="A287" s="8"/>
      <c r="B287" s="663"/>
      <c r="C287" s="664"/>
      <c r="D287" s="664"/>
      <c r="E287" s="664"/>
      <c r="F287" s="664"/>
      <c r="G287" s="664"/>
      <c r="H287" s="664"/>
      <c r="I287" s="664"/>
      <c r="J287" s="664"/>
      <c r="K287" s="664"/>
      <c r="L287" s="665"/>
      <c r="M287" s="38"/>
      <c r="Q287" s="10"/>
    </row>
    <row r="288" spans="1:21" s="38" customFormat="1" x14ac:dyDescent="0.25">
      <c r="A288" s="94"/>
      <c r="B288" s="50"/>
      <c r="C288" s="51"/>
      <c r="D288" s="51"/>
      <c r="E288" s="51"/>
      <c r="F288" s="51"/>
      <c r="G288" s="51"/>
      <c r="H288" s="51"/>
      <c r="I288" s="51"/>
      <c r="J288" s="51"/>
      <c r="K288" s="51"/>
      <c r="L288" s="52"/>
      <c r="O288" s="10"/>
      <c r="P288" s="10"/>
      <c r="Q288" s="10"/>
      <c r="R288" s="10"/>
      <c r="S288" s="10"/>
      <c r="T288" s="10"/>
      <c r="U288" s="10"/>
    </row>
    <row r="289" spans="1:21" s="11" customFormat="1" x14ac:dyDescent="0.25">
      <c r="A289" s="7"/>
      <c r="B289" s="674" t="s">
        <v>65</v>
      </c>
      <c r="C289" s="675"/>
      <c r="D289" s="675"/>
      <c r="E289" s="675"/>
      <c r="F289" s="675"/>
      <c r="G289" s="675"/>
      <c r="H289" s="675"/>
      <c r="I289" s="675"/>
      <c r="J289" s="675"/>
      <c r="K289" s="675"/>
      <c r="L289" s="676"/>
      <c r="M289" s="73"/>
    </row>
    <row r="290" spans="1:21" s="38" customFormat="1" x14ac:dyDescent="0.25">
      <c r="A290" s="94"/>
      <c r="B290" s="53"/>
      <c r="C290" s="93"/>
      <c r="D290" s="93"/>
      <c r="E290" s="93"/>
      <c r="F290" s="93"/>
      <c r="G290" s="93"/>
      <c r="H290" s="93"/>
      <c r="I290" s="93"/>
      <c r="J290" s="93"/>
      <c r="K290" s="93"/>
      <c r="L290" s="54"/>
      <c r="O290" s="10"/>
      <c r="P290" s="10"/>
      <c r="Q290" s="10"/>
      <c r="R290" s="10"/>
      <c r="S290" s="10"/>
      <c r="T290" s="10"/>
      <c r="U290" s="10"/>
    </row>
    <row r="291" spans="1:21" s="38" customFormat="1" x14ac:dyDescent="0.25">
      <c r="A291" s="94"/>
      <c r="B291" s="527" t="str">
        <f>IF(Intro!$G$20="English",O291,P291)</f>
        <v>Comment votre entreprise fixe-t-elle le prix des marchandises sur le marché canadien? Expliquez en détail les termes spécifiques à votre entreprise. Indiquez si ces pratiques générales de fixation des prix ont changé depuis le 1er janvier 2023.</v>
      </c>
      <c r="C291" s="528"/>
      <c r="D291" s="528"/>
      <c r="E291" s="528"/>
      <c r="F291" s="528"/>
      <c r="G291" s="528"/>
      <c r="H291" s="528"/>
      <c r="I291" s="528"/>
      <c r="J291" s="528"/>
      <c r="K291" s="528"/>
      <c r="L291" s="529"/>
      <c r="O291"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291"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291" s="10"/>
      <c r="R291" s="10"/>
      <c r="S291" s="10"/>
      <c r="T291" s="10"/>
      <c r="U291" s="10"/>
    </row>
    <row r="292" spans="1:21" s="38" customFormat="1" x14ac:dyDescent="0.25">
      <c r="A292" s="94"/>
      <c r="B292" s="527"/>
      <c r="C292" s="528"/>
      <c r="D292" s="528"/>
      <c r="E292" s="528"/>
      <c r="F292" s="528"/>
      <c r="G292" s="528"/>
      <c r="H292" s="528"/>
      <c r="I292" s="528"/>
      <c r="J292" s="528"/>
      <c r="K292" s="528"/>
      <c r="L292" s="529"/>
      <c r="O292" s="10"/>
      <c r="P292" s="10"/>
      <c r="Q292" s="10"/>
      <c r="R292" s="10"/>
      <c r="S292" s="10"/>
      <c r="T292" s="10"/>
      <c r="U292" s="10"/>
    </row>
    <row r="293" spans="1:21" s="38" customFormat="1" x14ac:dyDescent="0.25">
      <c r="A293" s="94"/>
      <c r="B293" s="53"/>
      <c r="C293" s="93"/>
      <c r="D293" s="93"/>
      <c r="E293" s="93"/>
      <c r="F293" s="93"/>
      <c r="G293" s="93"/>
      <c r="H293" s="93"/>
      <c r="I293" s="93"/>
      <c r="J293" s="93"/>
      <c r="K293" s="93"/>
      <c r="L293" s="54"/>
      <c r="O293" s="10"/>
      <c r="P293" s="10"/>
      <c r="Q293" s="10"/>
      <c r="R293" s="10"/>
      <c r="S293" s="10"/>
      <c r="T293" s="10"/>
      <c r="U293" s="10"/>
    </row>
    <row r="294" spans="1:21" s="11" customFormat="1" x14ac:dyDescent="0.25">
      <c r="A294" s="8"/>
      <c r="B294" s="663"/>
      <c r="C294" s="664"/>
      <c r="D294" s="664"/>
      <c r="E294" s="664"/>
      <c r="F294" s="664"/>
      <c r="G294" s="664"/>
      <c r="H294" s="664"/>
      <c r="I294" s="664"/>
      <c r="J294" s="664"/>
      <c r="K294" s="664"/>
      <c r="L294" s="665"/>
      <c r="M294" s="38"/>
      <c r="Q294" s="10"/>
    </row>
    <row r="295" spans="1:21" s="11" customFormat="1" x14ac:dyDescent="0.25">
      <c r="A295" s="8"/>
      <c r="B295" s="663"/>
      <c r="C295" s="664"/>
      <c r="D295" s="664"/>
      <c r="E295" s="664"/>
      <c r="F295" s="664"/>
      <c r="G295" s="664"/>
      <c r="H295" s="664"/>
      <c r="I295" s="664"/>
      <c r="J295" s="664"/>
      <c r="K295" s="664"/>
      <c r="L295" s="665"/>
      <c r="M295" s="38"/>
      <c r="Q295" s="10"/>
    </row>
    <row r="296" spans="1:21" s="11" customFormat="1" x14ac:dyDescent="0.25">
      <c r="A296" s="8"/>
      <c r="B296" s="663"/>
      <c r="C296" s="664"/>
      <c r="D296" s="664"/>
      <c r="E296" s="664"/>
      <c r="F296" s="664"/>
      <c r="G296" s="664"/>
      <c r="H296" s="664"/>
      <c r="I296" s="664"/>
      <c r="J296" s="664"/>
      <c r="K296" s="664"/>
      <c r="L296" s="665"/>
      <c r="M296" s="38"/>
      <c r="Q296" s="10"/>
    </row>
    <row r="297" spans="1:21" s="11" customFormat="1" x14ac:dyDescent="0.25">
      <c r="A297" s="8"/>
      <c r="B297" s="663"/>
      <c r="C297" s="664"/>
      <c r="D297" s="664"/>
      <c r="E297" s="664"/>
      <c r="F297" s="664"/>
      <c r="G297" s="664"/>
      <c r="H297" s="664"/>
      <c r="I297" s="664"/>
      <c r="J297" s="664"/>
      <c r="K297" s="664"/>
      <c r="L297" s="665"/>
      <c r="M297" s="38"/>
      <c r="Q297" s="10"/>
    </row>
    <row r="298" spans="1:21" s="11" customFormat="1" x14ac:dyDescent="0.25">
      <c r="A298" s="8"/>
      <c r="B298" s="663"/>
      <c r="C298" s="664"/>
      <c r="D298" s="664"/>
      <c r="E298" s="664"/>
      <c r="F298" s="664"/>
      <c r="G298" s="664"/>
      <c r="H298" s="664"/>
      <c r="I298" s="664"/>
      <c r="J298" s="664"/>
      <c r="K298" s="664"/>
      <c r="L298" s="665"/>
      <c r="M298" s="38"/>
      <c r="Q298" s="10"/>
    </row>
    <row r="299" spans="1:21" s="11" customFormat="1" x14ac:dyDescent="0.25">
      <c r="A299" s="8"/>
      <c r="B299" s="663"/>
      <c r="C299" s="664"/>
      <c r="D299" s="664"/>
      <c r="E299" s="664"/>
      <c r="F299" s="664"/>
      <c r="G299" s="664"/>
      <c r="H299" s="664"/>
      <c r="I299" s="664"/>
      <c r="J299" s="664"/>
      <c r="K299" s="664"/>
      <c r="L299" s="665"/>
      <c r="M299" s="38"/>
      <c r="Q299" s="10"/>
    </row>
    <row r="300" spans="1:21" s="11" customFormat="1" x14ac:dyDescent="0.25">
      <c r="A300" s="8"/>
      <c r="B300" s="663"/>
      <c r="C300" s="664"/>
      <c r="D300" s="664"/>
      <c r="E300" s="664"/>
      <c r="F300" s="664"/>
      <c r="G300" s="664"/>
      <c r="H300" s="664"/>
      <c r="I300" s="664"/>
      <c r="J300" s="664"/>
      <c r="K300" s="664"/>
      <c r="L300" s="665"/>
      <c r="M300" s="38"/>
      <c r="Q300" s="10"/>
    </row>
    <row r="301" spans="1:21" s="11" customFormat="1" x14ac:dyDescent="0.25">
      <c r="A301" s="8"/>
      <c r="B301" s="663"/>
      <c r="C301" s="664"/>
      <c r="D301" s="664"/>
      <c r="E301" s="664"/>
      <c r="F301" s="664"/>
      <c r="G301" s="664"/>
      <c r="H301" s="664"/>
      <c r="I301" s="664"/>
      <c r="J301" s="664"/>
      <c r="K301" s="664"/>
      <c r="L301" s="665"/>
      <c r="M301" s="38"/>
      <c r="Q301" s="10"/>
    </row>
    <row r="302" spans="1:21" s="38" customFormat="1" x14ac:dyDescent="0.25">
      <c r="A302" s="94"/>
      <c r="B302" s="50"/>
      <c r="C302" s="51"/>
      <c r="D302" s="51"/>
      <c r="E302" s="51"/>
      <c r="F302" s="51"/>
      <c r="G302" s="51"/>
      <c r="H302" s="51"/>
      <c r="I302" s="51"/>
      <c r="J302" s="51"/>
      <c r="K302" s="51"/>
      <c r="L302" s="52"/>
      <c r="O302" s="10"/>
      <c r="P302" s="10"/>
      <c r="Q302" s="10"/>
      <c r="R302" s="10"/>
      <c r="S302" s="10"/>
      <c r="T302" s="10"/>
      <c r="U302" s="10"/>
    </row>
    <row r="303" spans="1:21" s="11" customFormat="1" x14ac:dyDescent="0.25">
      <c r="A303" s="7"/>
      <c r="B303" s="674" t="s">
        <v>78</v>
      </c>
      <c r="C303" s="675"/>
      <c r="D303" s="675"/>
      <c r="E303" s="675"/>
      <c r="F303" s="675"/>
      <c r="G303" s="675"/>
      <c r="H303" s="675"/>
      <c r="I303" s="675"/>
      <c r="J303" s="675"/>
      <c r="K303" s="675"/>
      <c r="L303" s="676"/>
      <c r="M303" s="73"/>
    </row>
    <row r="304" spans="1:21" s="38" customFormat="1" x14ac:dyDescent="0.25">
      <c r="A304" s="94"/>
      <c r="B304" s="53"/>
      <c r="C304" s="93"/>
      <c r="D304" s="93"/>
      <c r="E304" s="93"/>
      <c r="F304" s="93"/>
      <c r="G304" s="93"/>
      <c r="H304" s="93"/>
      <c r="I304" s="93"/>
      <c r="J304" s="93"/>
      <c r="K304" s="93"/>
      <c r="L304" s="54"/>
      <c r="O304" s="10"/>
      <c r="P304" s="10"/>
      <c r="Q304" s="10"/>
      <c r="R304" s="10"/>
      <c r="S304" s="10"/>
      <c r="T304" s="10"/>
      <c r="U304" s="10"/>
    </row>
    <row r="305" spans="1:21" s="38" customFormat="1" x14ac:dyDescent="0.25">
      <c r="A305" s="94"/>
      <c r="B305" s="527" t="str">
        <f>IF(Intro!$G$20="English",O305,P305)</f>
        <v>Fournissez des détails sur tous les facteurs autres que les coûts des matériaux (par exemple, les fluctuations du taux de change) qui ont affecté les prix des marchandises sur le marché canadien depuis le 1er janvier 2023.</v>
      </c>
      <c r="C305" s="528"/>
      <c r="D305" s="528"/>
      <c r="E305" s="528"/>
      <c r="F305" s="528"/>
      <c r="G305" s="528"/>
      <c r="H305" s="528"/>
      <c r="I305" s="528"/>
      <c r="J305" s="528"/>
      <c r="K305" s="528"/>
      <c r="L305" s="529"/>
      <c r="O305" s="10"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05" s="10"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c r="Q305" s="10"/>
      <c r="R305" s="10"/>
      <c r="S305" s="10"/>
      <c r="T305" s="10"/>
      <c r="U305" s="10"/>
    </row>
    <row r="306" spans="1:21" s="38" customFormat="1" x14ac:dyDescent="0.25">
      <c r="A306" s="94"/>
      <c r="B306" s="527"/>
      <c r="C306" s="528"/>
      <c r="D306" s="528"/>
      <c r="E306" s="528"/>
      <c r="F306" s="528"/>
      <c r="G306" s="528"/>
      <c r="H306" s="528"/>
      <c r="I306" s="528"/>
      <c r="J306" s="528"/>
      <c r="K306" s="528"/>
      <c r="L306" s="529"/>
      <c r="O306" s="10"/>
      <c r="P306" s="10"/>
      <c r="Q306" s="10"/>
      <c r="R306" s="10"/>
      <c r="S306" s="10"/>
      <c r="T306" s="10"/>
      <c r="U306" s="10"/>
    </row>
    <row r="307" spans="1:21" s="38" customFormat="1" x14ac:dyDescent="0.25">
      <c r="A307" s="94"/>
      <c r="B307" s="53"/>
      <c r="C307" s="93"/>
      <c r="D307" s="93"/>
      <c r="E307" s="93"/>
      <c r="F307" s="93"/>
      <c r="G307" s="93"/>
      <c r="H307" s="93"/>
      <c r="I307" s="93"/>
      <c r="J307" s="93"/>
      <c r="K307" s="93"/>
      <c r="L307" s="54"/>
      <c r="O307" s="10"/>
      <c r="P307" s="10"/>
      <c r="Q307" s="10"/>
      <c r="R307" s="10"/>
      <c r="S307" s="10"/>
      <c r="T307" s="10"/>
      <c r="U307" s="10"/>
    </row>
    <row r="308" spans="1:21" s="11" customFormat="1" x14ac:dyDescent="0.25">
      <c r="A308" s="8"/>
      <c r="B308" s="663"/>
      <c r="C308" s="664"/>
      <c r="D308" s="664"/>
      <c r="E308" s="664"/>
      <c r="F308" s="664"/>
      <c r="G308" s="664"/>
      <c r="H308" s="664"/>
      <c r="I308" s="664"/>
      <c r="J308" s="664"/>
      <c r="K308" s="664"/>
      <c r="L308" s="665"/>
      <c r="M308" s="38"/>
      <c r="Q308" s="10"/>
    </row>
    <row r="309" spans="1:21" s="11" customFormat="1" x14ac:dyDescent="0.25">
      <c r="A309" s="8"/>
      <c r="B309" s="663"/>
      <c r="C309" s="664"/>
      <c r="D309" s="664"/>
      <c r="E309" s="664"/>
      <c r="F309" s="664"/>
      <c r="G309" s="664"/>
      <c r="H309" s="664"/>
      <c r="I309" s="664"/>
      <c r="J309" s="664"/>
      <c r="K309" s="664"/>
      <c r="L309" s="665"/>
      <c r="M309" s="38"/>
      <c r="Q309" s="10"/>
    </row>
    <row r="310" spans="1:21" s="11" customFormat="1" x14ac:dyDescent="0.25">
      <c r="A310" s="8"/>
      <c r="B310" s="663"/>
      <c r="C310" s="664"/>
      <c r="D310" s="664"/>
      <c r="E310" s="664"/>
      <c r="F310" s="664"/>
      <c r="G310" s="664"/>
      <c r="H310" s="664"/>
      <c r="I310" s="664"/>
      <c r="J310" s="664"/>
      <c r="K310" s="664"/>
      <c r="L310" s="665"/>
      <c r="M310" s="38"/>
      <c r="Q310" s="10"/>
    </row>
    <row r="311" spans="1:21" s="11" customFormat="1" x14ac:dyDescent="0.25">
      <c r="A311" s="8"/>
      <c r="B311" s="663"/>
      <c r="C311" s="664"/>
      <c r="D311" s="664"/>
      <c r="E311" s="664"/>
      <c r="F311" s="664"/>
      <c r="G311" s="664"/>
      <c r="H311" s="664"/>
      <c r="I311" s="664"/>
      <c r="J311" s="664"/>
      <c r="K311" s="664"/>
      <c r="L311" s="665"/>
      <c r="M311" s="38"/>
      <c r="Q311" s="10"/>
    </row>
    <row r="312" spans="1:21" s="11" customFormat="1" x14ac:dyDescent="0.25">
      <c r="A312" s="8"/>
      <c r="B312" s="663"/>
      <c r="C312" s="664"/>
      <c r="D312" s="664"/>
      <c r="E312" s="664"/>
      <c r="F312" s="664"/>
      <c r="G312" s="664"/>
      <c r="H312" s="664"/>
      <c r="I312" s="664"/>
      <c r="J312" s="664"/>
      <c r="K312" s="664"/>
      <c r="L312" s="665"/>
      <c r="M312" s="38"/>
      <c r="Q312" s="10"/>
    </row>
    <row r="313" spans="1:21" s="11" customFormat="1" x14ac:dyDescent="0.25">
      <c r="A313" s="8"/>
      <c r="B313" s="663"/>
      <c r="C313" s="664"/>
      <c r="D313" s="664"/>
      <c r="E313" s="664"/>
      <c r="F313" s="664"/>
      <c r="G313" s="664"/>
      <c r="H313" s="664"/>
      <c r="I313" s="664"/>
      <c r="J313" s="664"/>
      <c r="K313" s="664"/>
      <c r="L313" s="665"/>
      <c r="M313" s="38"/>
      <c r="Q313" s="10"/>
    </row>
    <row r="314" spans="1:21" s="11" customFormat="1" x14ac:dyDescent="0.25">
      <c r="A314" s="8"/>
      <c r="B314" s="663"/>
      <c r="C314" s="664"/>
      <c r="D314" s="664"/>
      <c r="E314" s="664"/>
      <c r="F314" s="664"/>
      <c r="G314" s="664"/>
      <c r="H314" s="664"/>
      <c r="I314" s="664"/>
      <c r="J314" s="664"/>
      <c r="K314" s="664"/>
      <c r="L314" s="665"/>
      <c r="M314" s="38"/>
      <c r="Q314" s="10"/>
    </row>
    <row r="315" spans="1:21" s="11" customFormat="1" x14ac:dyDescent="0.25">
      <c r="A315" s="8"/>
      <c r="B315" s="663"/>
      <c r="C315" s="664"/>
      <c r="D315" s="664"/>
      <c r="E315" s="664"/>
      <c r="F315" s="664"/>
      <c r="G315" s="664"/>
      <c r="H315" s="664"/>
      <c r="I315" s="664"/>
      <c r="J315" s="664"/>
      <c r="K315" s="664"/>
      <c r="L315" s="665"/>
      <c r="M315" s="38"/>
      <c r="Q315" s="10"/>
    </row>
    <row r="316" spans="1:21" s="38" customFormat="1" x14ac:dyDescent="0.25">
      <c r="A316" s="94"/>
      <c r="B316" s="50"/>
      <c r="C316" s="51"/>
      <c r="D316" s="51"/>
      <c r="E316" s="51"/>
      <c r="F316" s="51"/>
      <c r="G316" s="51"/>
      <c r="H316" s="51"/>
      <c r="I316" s="51"/>
      <c r="J316" s="51"/>
      <c r="K316" s="51"/>
      <c r="L316" s="52"/>
      <c r="O316" s="10"/>
      <c r="P316" s="10"/>
      <c r="Q316" s="10"/>
      <c r="R316" s="10"/>
      <c r="S316" s="10"/>
      <c r="T316" s="10"/>
      <c r="U316" s="10"/>
    </row>
    <row r="317" spans="1:21" s="11" customFormat="1" x14ac:dyDescent="0.25">
      <c r="A317" s="7"/>
      <c r="B317" s="674" t="s">
        <v>79</v>
      </c>
      <c r="C317" s="675"/>
      <c r="D317" s="675"/>
      <c r="E317" s="675"/>
      <c r="F317" s="675"/>
      <c r="G317" s="675"/>
      <c r="H317" s="675"/>
      <c r="I317" s="675"/>
      <c r="J317" s="675"/>
      <c r="K317" s="675"/>
      <c r="L317" s="676"/>
      <c r="M317" s="73"/>
    </row>
    <row r="318" spans="1:21" s="38" customFormat="1" x14ac:dyDescent="0.25">
      <c r="A318" s="94"/>
      <c r="B318" s="53"/>
      <c r="C318" s="93"/>
      <c r="D318" s="93"/>
      <c r="E318" s="93"/>
      <c r="F318" s="93"/>
      <c r="G318" s="93"/>
      <c r="H318" s="93"/>
      <c r="I318" s="93"/>
      <c r="J318" s="93"/>
      <c r="K318" s="93"/>
      <c r="L318" s="54"/>
      <c r="O318" s="10"/>
      <c r="P318" s="10"/>
      <c r="Q318" s="10"/>
      <c r="R318" s="10"/>
      <c r="S318" s="10"/>
      <c r="T318" s="10"/>
      <c r="U318" s="10"/>
    </row>
    <row r="319" spans="1:21" s="38" customFormat="1" x14ac:dyDescent="0.25">
      <c r="A319" s="94"/>
      <c r="B319" s="654" t="str">
        <f>IF(Intro!$G$20="English",O319,P319)</f>
        <v>Décrivez comment les coûts de livraison des marchandises vendues par votre entreprise sont payés.</v>
      </c>
      <c r="C319" s="655"/>
      <c r="D319" s="655"/>
      <c r="E319" s="655"/>
      <c r="F319" s="655"/>
      <c r="G319" s="655"/>
      <c r="H319" s="655"/>
      <c r="I319" s="655"/>
      <c r="J319" s="655"/>
      <c r="K319" s="655"/>
      <c r="L319" s="656"/>
      <c r="O319" s="10" t="s">
        <v>128</v>
      </c>
      <c r="P319" s="10" t="s">
        <v>210</v>
      </c>
      <c r="Q319" s="10"/>
      <c r="R319" s="10"/>
      <c r="S319" s="10"/>
      <c r="T319" s="10"/>
      <c r="U319" s="10"/>
    </row>
    <row r="320" spans="1:21" s="38" customFormat="1" x14ac:dyDescent="0.25">
      <c r="A320" s="94"/>
      <c r="B320" s="53"/>
      <c r="C320" s="93"/>
      <c r="D320" s="93"/>
      <c r="E320" s="93"/>
      <c r="F320" s="93"/>
      <c r="G320" s="93"/>
      <c r="H320" s="203" t="str">
        <f>IF(Intro!$G$20="English",O320,P320)</f>
        <v>Sélectionnez toutes les réponses qui s'appliquent</v>
      </c>
      <c r="I320" s="93"/>
      <c r="J320" s="93"/>
      <c r="K320" s="93"/>
      <c r="L320" s="54"/>
      <c r="O320" s="10" t="s">
        <v>459</v>
      </c>
      <c r="P320" s="10" t="s">
        <v>460</v>
      </c>
      <c r="Q320" s="10"/>
      <c r="R320" s="10"/>
      <c r="S320" s="10"/>
      <c r="T320" s="10"/>
      <c r="U320" s="10"/>
    </row>
    <row r="321" spans="1:21" ht="14.25" customHeight="1" x14ac:dyDescent="0.25">
      <c r="A321" s="7"/>
      <c r="B321" s="683" t="str">
        <f>IF(Intro!$G$20="English",O321,P321)</f>
        <v>Votre entreprise s'occupe de la livraison et les frais de livraison sont inclus dans le prix de vente.</v>
      </c>
      <c r="C321" s="684"/>
      <c r="D321" s="684"/>
      <c r="E321" s="684"/>
      <c r="F321" s="684"/>
      <c r="G321" s="685"/>
      <c r="H321" s="163"/>
      <c r="I321" s="93"/>
      <c r="J321" s="93"/>
      <c r="K321" s="93"/>
      <c r="L321" s="54"/>
      <c r="M321" s="10"/>
      <c r="O321" s="6" t="s">
        <v>451</v>
      </c>
      <c r="P321" s="6" t="s">
        <v>454</v>
      </c>
    </row>
    <row r="322" spans="1:21" ht="14.25" customHeight="1" x14ac:dyDescent="0.25">
      <c r="A322" s="7"/>
      <c r="B322" s="683" t="str">
        <f>IF(Intro!$G$20="English",O322,P322)</f>
        <v>Votre entreprise s'occupe de la livraison mais les frais de livraison sont facturés séparément à l’acheteur.</v>
      </c>
      <c r="C322" s="684"/>
      <c r="D322" s="684"/>
      <c r="E322" s="684"/>
      <c r="F322" s="684"/>
      <c r="G322" s="685"/>
      <c r="H322" s="163"/>
      <c r="I322" s="93"/>
      <c r="J322" s="93"/>
      <c r="K322" s="93"/>
      <c r="L322" s="54"/>
      <c r="M322" s="10"/>
      <c r="O322" s="6" t="s">
        <v>452</v>
      </c>
      <c r="P322" s="6" t="s">
        <v>455</v>
      </c>
    </row>
    <row r="323" spans="1:21" ht="14.25" customHeight="1" x14ac:dyDescent="0.25">
      <c r="A323" s="7"/>
      <c r="B323" s="683" t="str">
        <f>IF(Intro!$G$20="English",O323,P323)</f>
        <v>La livraison et ses frais sont pris en charge par l’acheteur.</v>
      </c>
      <c r="C323" s="684"/>
      <c r="D323" s="684"/>
      <c r="E323" s="684"/>
      <c r="F323" s="684"/>
      <c r="G323" s="685"/>
      <c r="H323" s="163"/>
      <c r="I323" s="93"/>
      <c r="J323" s="93"/>
      <c r="K323" s="93"/>
      <c r="L323" s="54"/>
      <c r="M323" s="10"/>
      <c r="O323" s="6" t="s">
        <v>453</v>
      </c>
      <c r="P323" s="6" t="s">
        <v>456</v>
      </c>
    </row>
    <row r="324" spans="1:21" s="38" customFormat="1" x14ac:dyDescent="0.25">
      <c r="A324" s="94"/>
      <c r="B324" s="53"/>
      <c r="C324" s="93"/>
      <c r="D324" s="93"/>
      <c r="E324" s="93"/>
      <c r="F324" s="93"/>
      <c r="G324" s="93"/>
      <c r="H324" s="93"/>
      <c r="I324" s="93"/>
      <c r="J324" s="93"/>
      <c r="K324" s="93"/>
      <c r="L324" s="54"/>
      <c r="O324" s="10"/>
      <c r="P324" s="10"/>
      <c r="Q324" s="10"/>
      <c r="R324" s="10"/>
      <c r="S324" s="10"/>
      <c r="T324" s="10"/>
      <c r="U324" s="10"/>
    </row>
    <row r="325" spans="1:21" s="38" customFormat="1" x14ac:dyDescent="0.25">
      <c r="A325" s="94"/>
      <c r="B325" s="654" t="str">
        <f>IF(Intro!$G$20="English",O325,P325)</f>
        <v>Expliquez si le mode de paiement de la livraison des marchandises vendues par votre entreprise a changé depuis le 1er janvier 2023.</v>
      </c>
      <c r="C325" s="655"/>
      <c r="D325" s="655"/>
      <c r="E325" s="655"/>
      <c r="F325" s="655"/>
      <c r="G325" s="655"/>
      <c r="H325" s="655"/>
      <c r="I325" s="655"/>
      <c r="J325" s="655"/>
      <c r="K325" s="655"/>
      <c r="L325" s="656"/>
      <c r="O325" s="10" t="str">
        <f>"Explain if the method of paying for delivery of the goods sold by your firm has changed since January 1, "&amp;Variables!B6&amp;"."</f>
        <v>Explain if the method of paying for delivery of the goods sold by your firm has changed since January 1, 2023.</v>
      </c>
      <c r="P325" s="10"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c r="Q325" s="10"/>
      <c r="R325" s="10"/>
      <c r="S325" s="10"/>
      <c r="T325" s="10"/>
      <c r="U325" s="10"/>
    </row>
    <row r="326" spans="1:21" s="38" customFormat="1" x14ac:dyDescent="0.25">
      <c r="A326" s="94"/>
      <c r="B326" s="53"/>
      <c r="C326" s="93"/>
      <c r="D326" s="93"/>
      <c r="E326" s="93"/>
      <c r="F326" s="93"/>
      <c r="G326" s="93"/>
      <c r="H326" s="93"/>
      <c r="I326" s="93"/>
      <c r="J326" s="93"/>
      <c r="K326" s="93"/>
      <c r="L326" s="54"/>
      <c r="O326" s="10"/>
      <c r="P326" s="10"/>
      <c r="Q326" s="10"/>
      <c r="R326" s="10"/>
      <c r="S326" s="10"/>
      <c r="T326" s="10"/>
      <c r="U326" s="10"/>
    </row>
    <row r="327" spans="1:21" s="11" customFormat="1" x14ac:dyDescent="0.25">
      <c r="A327" s="8"/>
      <c r="B327" s="663"/>
      <c r="C327" s="664"/>
      <c r="D327" s="664"/>
      <c r="E327" s="664"/>
      <c r="F327" s="664"/>
      <c r="G327" s="664"/>
      <c r="H327" s="664"/>
      <c r="I327" s="664"/>
      <c r="J327" s="664"/>
      <c r="K327" s="664"/>
      <c r="L327" s="665"/>
      <c r="M327" s="38"/>
      <c r="Q327" s="10"/>
    </row>
    <row r="328" spans="1:21" s="11" customFormat="1" x14ac:dyDescent="0.25">
      <c r="A328" s="8"/>
      <c r="B328" s="663"/>
      <c r="C328" s="664"/>
      <c r="D328" s="664"/>
      <c r="E328" s="664"/>
      <c r="F328" s="664"/>
      <c r="G328" s="664"/>
      <c r="H328" s="664"/>
      <c r="I328" s="664"/>
      <c r="J328" s="664"/>
      <c r="K328" s="664"/>
      <c r="L328" s="665"/>
      <c r="M328" s="38"/>
      <c r="Q328" s="10"/>
    </row>
    <row r="329" spans="1:21" s="11" customFormat="1" x14ac:dyDescent="0.25">
      <c r="A329" s="8"/>
      <c r="B329" s="663"/>
      <c r="C329" s="664"/>
      <c r="D329" s="664"/>
      <c r="E329" s="664"/>
      <c r="F329" s="664"/>
      <c r="G329" s="664"/>
      <c r="H329" s="664"/>
      <c r="I329" s="664"/>
      <c r="J329" s="664"/>
      <c r="K329" s="664"/>
      <c r="L329" s="665"/>
      <c r="M329" s="38"/>
      <c r="Q329" s="10"/>
    </row>
    <row r="330" spans="1:21" s="11" customFormat="1" x14ac:dyDescent="0.25">
      <c r="A330" s="8"/>
      <c r="B330" s="663"/>
      <c r="C330" s="664"/>
      <c r="D330" s="664"/>
      <c r="E330" s="664"/>
      <c r="F330" s="664"/>
      <c r="G330" s="664"/>
      <c r="H330" s="664"/>
      <c r="I330" s="664"/>
      <c r="J330" s="664"/>
      <c r="K330" s="664"/>
      <c r="L330" s="665"/>
      <c r="M330" s="38"/>
      <c r="Q330" s="10"/>
    </row>
    <row r="331" spans="1:21" s="11" customFormat="1" x14ac:dyDescent="0.25">
      <c r="A331" s="8"/>
      <c r="B331" s="663"/>
      <c r="C331" s="664"/>
      <c r="D331" s="664"/>
      <c r="E331" s="664"/>
      <c r="F331" s="664"/>
      <c r="G331" s="664"/>
      <c r="H331" s="664"/>
      <c r="I331" s="664"/>
      <c r="J331" s="664"/>
      <c r="K331" s="664"/>
      <c r="L331" s="665"/>
      <c r="M331" s="38"/>
      <c r="Q331" s="10"/>
    </row>
    <row r="332" spans="1:21" s="11" customFormat="1" x14ac:dyDescent="0.25">
      <c r="A332" s="8"/>
      <c r="B332" s="663"/>
      <c r="C332" s="664"/>
      <c r="D332" s="664"/>
      <c r="E332" s="664"/>
      <c r="F332" s="664"/>
      <c r="G332" s="664"/>
      <c r="H332" s="664"/>
      <c r="I332" s="664"/>
      <c r="J332" s="664"/>
      <c r="K332" s="664"/>
      <c r="L332" s="665"/>
      <c r="M332" s="38"/>
      <c r="Q332" s="10"/>
    </row>
    <row r="333" spans="1:21" s="11" customFormat="1" x14ac:dyDescent="0.25">
      <c r="A333" s="8"/>
      <c r="B333" s="663"/>
      <c r="C333" s="664"/>
      <c r="D333" s="664"/>
      <c r="E333" s="664"/>
      <c r="F333" s="664"/>
      <c r="G333" s="664"/>
      <c r="H333" s="664"/>
      <c r="I333" s="664"/>
      <c r="J333" s="664"/>
      <c r="K333" s="664"/>
      <c r="L333" s="665"/>
      <c r="M333" s="38"/>
      <c r="Q333" s="10"/>
    </row>
    <row r="334" spans="1:21" s="11" customFormat="1" x14ac:dyDescent="0.25">
      <c r="A334" s="8"/>
      <c r="B334" s="663"/>
      <c r="C334" s="664"/>
      <c r="D334" s="664"/>
      <c r="E334" s="664"/>
      <c r="F334" s="664"/>
      <c r="G334" s="664"/>
      <c r="H334" s="664"/>
      <c r="I334" s="664"/>
      <c r="J334" s="664"/>
      <c r="K334" s="664"/>
      <c r="L334" s="665"/>
      <c r="M334" s="38"/>
      <c r="Q334" s="10"/>
    </row>
    <row r="335" spans="1:21" s="38" customFormat="1" x14ac:dyDescent="0.25">
      <c r="A335" s="94"/>
      <c r="B335" s="50"/>
      <c r="C335" s="51"/>
      <c r="D335" s="51"/>
      <c r="E335" s="51"/>
      <c r="F335" s="51"/>
      <c r="G335" s="51"/>
      <c r="H335" s="51"/>
      <c r="I335" s="51"/>
      <c r="J335" s="51"/>
      <c r="K335" s="51"/>
      <c r="L335" s="52"/>
      <c r="O335" s="10"/>
      <c r="P335" s="10"/>
      <c r="Q335" s="10"/>
      <c r="R335" s="10"/>
      <c r="S335" s="10"/>
      <c r="T335" s="10"/>
      <c r="U335" s="10"/>
    </row>
    <row r="336" spans="1:21" s="11" customFormat="1" x14ac:dyDescent="0.25">
      <c r="A336" s="7"/>
      <c r="B336" s="674" t="s">
        <v>80</v>
      </c>
      <c r="C336" s="675"/>
      <c r="D336" s="675"/>
      <c r="E336" s="675"/>
      <c r="F336" s="675"/>
      <c r="G336" s="675"/>
      <c r="H336" s="675"/>
      <c r="I336" s="675"/>
      <c r="J336" s="675"/>
      <c r="K336" s="675"/>
      <c r="L336" s="676"/>
      <c r="M336" s="73"/>
    </row>
    <row r="337" spans="1:21" s="38" customFormat="1" x14ac:dyDescent="0.25">
      <c r="A337" s="94"/>
      <c r="B337" s="53"/>
      <c r="C337" s="93"/>
      <c r="D337" s="93"/>
      <c r="E337" s="93"/>
      <c r="F337" s="93"/>
      <c r="G337" s="93"/>
      <c r="H337" s="93"/>
      <c r="I337" s="93"/>
      <c r="J337" s="93"/>
      <c r="K337" s="93"/>
      <c r="L337" s="54"/>
      <c r="O337" s="10"/>
      <c r="P337" s="10"/>
      <c r="Q337" s="10"/>
      <c r="R337" s="10"/>
      <c r="S337" s="10"/>
      <c r="T337" s="10"/>
      <c r="U337" s="10"/>
    </row>
    <row r="338" spans="1:21" s="38" customFormat="1" x14ac:dyDescent="0.25">
      <c r="A338" s="94"/>
      <c r="B338" s="654" t="str">
        <f>IF(Intro!$G$20="English",O338,P338)</f>
        <v>Expliquez si la demande pour les marchandises ou les ventes de marchandises ont changé depuis le 1er janvier 2023.</v>
      </c>
      <c r="C338" s="655"/>
      <c r="D338" s="655"/>
      <c r="E338" s="655"/>
      <c r="F338" s="655"/>
      <c r="G338" s="655"/>
      <c r="H338" s="655"/>
      <c r="I338" s="655"/>
      <c r="J338" s="655"/>
      <c r="K338" s="655"/>
      <c r="L338" s="656"/>
      <c r="O338" s="10" t="str">
        <f>"Explain if demand for the goods or sales of the goods has changed since January 1, "&amp;Variables!B6&amp;"."</f>
        <v>Explain if demand for the goods or sales of the goods has changed since January 1, 2023.</v>
      </c>
      <c r="P338" s="10" t="str">
        <f>"Expliquez si la demande pour les marchandises ou les ventes de marchandises ont changé depuis le 1er janvier "&amp;Variables!B6&amp;"."</f>
        <v>Expliquez si la demande pour les marchandises ou les ventes de marchandises ont changé depuis le 1er janvier 2023.</v>
      </c>
      <c r="Q338" s="10"/>
      <c r="R338" s="10"/>
      <c r="S338" s="10"/>
      <c r="T338" s="10"/>
      <c r="U338" s="10"/>
    </row>
    <row r="339" spans="1:21" s="38" customFormat="1" x14ac:dyDescent="0.25">
      <c r="A339" s="94"/>
      <c r="B339" s="53"/>
      <c r="C339" s="93"/>
      <c r="D339" s="93"/>
      <c r="E339" s="93"/>
      <c r="F339" s="93"/>
      <c r="G339" s="93"/>
      <c r="H339" s="93"/>
      <c r="I339" s="93"/>
      <c r="J339" s="93"/>
      <c r="K339" s="93"/>
      <c r="L339" s="54"/>
      <c r="O339" s="10"/>
      <c r="P339" s="10"/>
      <c r="Q339" s="10"/>
      <c r="R339" s="10"/>
      <c r="S339" s="10"/>
      <c r="T339" s="10"/>
      <c r="U339" s="10"/>
    </row>
    <row r="340" spans="1:21" s="11" customFormat="1" x14ac:dyDescent="0.25">
      <c r="A340" s="8"/>
      <c r="B340" s="663"/>
      <c r="C340" s="664"/>
      <c r="D340" s="664"/>
      <c r="E340" s="664"/>
      <c r="F340" s="664"/>
      <c r="G340" s="664"/>
      <c r="H340" s="664"/>
      <c r="I340" s="664"/>
      <c r="J340" s="664"/>
      <c r="K340" s="664"/>
      <c r="L340" s="665"/>
      <c r="M340" s="38"/>
      <c r="Q340" s="10"/>
    </row>
    <row r="341" spans="1:21" s="11" customFormat="1" x14ac:dyDescent="0.25">
      <c r="A341" s="8"/>
      <c r="B341" s="663"/>
      <c r="C341" s="664"/>
      <c r="D341" s="664"/>
      <c r="E341" s="664"/>
      <c r="F341" s="664"/>
      <c r="G341" s="664"/>
      <c r="H341" s="664"/>
      <c r="I341" s="664"/>
      <c r="J341" s="664"/>
      <c r="K341" s="664"/>
      <c r="L341" s="665"/>
      <c r="M341" s="38"/>
      <c r="Q341" s="10"/>
    </row>
    <row r="342" spans="1:21" s="11" customFormat="1" x14ac:dyDescent="0.25">
      <c r="A342" s="8"/>
      <c r="B342" s="663"/>
      <c r="C342" s="664"/>
      <c r="D342" s="664"/>
      <c r="E342" s="664"/>
      <c r="F342" s="664"/>
      <c r="G342" s="664"/>
      <c r="H342" s="664"/>
      <c r="I342" s="664"/>
      <c r="J342" s="664"/>
      <c r="K342" s="664"/>
      <c r="L342" s="665"/>
      <c r="M342" s="38"/>
      <c r="Q342" s="10"/>
    </row>
    <row r="343" spans="1:21" s="11" customFormat="1" x14ac:dyDescent="0.25">
      <c r="A343" s="8"/>
      <c r="B343" s="663"/>
      <c r="C343" s="664"/>
      <c r="D343" s="664"/>
      <c r="E343" s="664"/>
      <c r="F343" s="664"/>
      <c r="G343" s="664"/>
      <c r="H343" s="664"/>
      <c r="I343" s="664"/>
      <c r="J343" s="664"/>
      <c r="K343" s="664"/>
      <c r="L343" s="665"/>
      <c r="M343" s="38"/>
      <c r="Q343" s="10"/>
    </row>
    <row r="344" spans="1:21" s="11" customFormat="1" x14ac:dyDescent="0.25">
      <c r="A344" s="8"/>
      <c r="B344" s="663"/>
      <c r="C344" s="664"/>
      <c r="D344" s="664"/>
      <c r="E344" s="664"/>
      <c r="F344" s="664"/>
      <c r="G344" s="664"/>
      <c r="H344" s="664"/>
      <c r="I344" s="664"/>
      <c r="J344" s="664"/>
      <c r="K344" s="664"/>
      <c r="L344" s="665"/>
      <c r="M344" s="38"/>
      <c r="Q344" s="10"/>
    </row>
    <row r="345" spans="1:21" s="11" customFormat="1" x14ac:dyDescent="0.25">
      <c r="A345" s="8"/>
      <c r="B345" s="663"/>
      <c r="C345" s="664"/>
      <c r="D345" s="664"/>
      <c r="E345" s="664"/>
      <c r="F345" s="664"/>
      <c r="G345" s="664"/>
      <c r="H345" s="664"/>
      <c r="I345" s="664"/>
      <c r="J345" s="664"/>
      <c r="K345" s="664"/>
      <c r="L345" s="665"/>
      <c r="M345" s="38"/>
      <c r="Q345" s="10"/>
    </row>
    <row r="346" spans="1:21" s="11" customFormat="1" x14ac:dyDescent="0.25">
      <c r="A346" s="8"/>
      <c r="B346" s="663"/>
      <c r="C346" s="664"/>
      <c r="D346" s="664"/>
      <c r="E346" s="664"/>
      <c r="F346" s="664"/>
      <c r="G346" s="664"/>
      <c r="H346" s="664"/>
      <c r="I346" s="664"/>
      <c r="J346" s="664"/>
      <c r="K346" s="664"/>
      <c r="L346" s="665"/>
      <c r="M346" s="38"/>
      <c r="Q346" s="10"/>
    </row>
    <row r="347" spans="1:21" s="11" customFormat="1" x14ac:dyDescent="0.25">
      <c r="A347" s="8"/>
      <c r="B347" s="663"/>
      <c r="C347" s="664"/>
      <c r="D347" s="664"/>
      <c r="E347" s="664"/>
      <c r="F347" s="664"/>
      <c r="G347" s="664"/>
      <c r="H347" s="664"/>
      <c r="I347" s="664"/>
      <c r="J347" s="664"/>
      <c r="K347" s="664"/>
      <c r="L347" s="665"/>
      <c r="M347" s="38"/>
      <c r="Q347" s="10"/>
    </row>
    <row r="348" spans="1:21" s="38" customFormat="1" x14ac:dyDescent="0.25">
      <c r="A348" s="94"/>
      <c r="B348" s="50"/>
      <c r="C348" s="51"/>
      <c r="D348" s="51"/>
      <c r="E348" s="51"/>
      <c r="F348" s="51"/>
      <c r="G348" s="51"/>
      <c r="H348" s="51"/>
      <c r="I348" s="51"/>
      <c r="J348" s="51"/>
      <c r="K348" s="51"/>
      <c r="L348" s="52"/>
      <c r="O348" s="10"/>
      <c r="P348" s="10"/>
      <c r="Q348" s="10"/>
      <c r="R348" s="10"/>
      <c r="S348" s="10"/>
      <c r="T348" s="10"/>
      <c r="U348" s="10"/>
    </row>
    <row r="349" spans="1:21" x14ac:dyDescent="0.25">
      <c r="A349" s="7"/>
    </row>
    <row r="350" spans="1:21" x14ac:dyDescent="0.25">
      <c r="A350" s="7"/>
      <c r="B350" s="533" t="str">
        <f>IF(Intro!$G$20="English",O350,P350)</f>
        <v>MARCHÉS</v>
      </c>
      <c r="C350" s="534"/>
      <c r="D350" s="534"/>
      <c r="E350" s="534"/>
      <c r="F350" s="534"/>
      <c r="G350" s="534"/>
      <c r="H350" s="534"/>
      <c r="I350" s="534"/>
      <c r="J350" s="534"/>
      <c r="K350" s="534"/>
      <c r="L350" s="535"/>
      <c r="M350" s="38"/>
      <c r="O350" s="105" t="s">
        <v>326</v>
      </c>
      <c r="P350" s="105" t="s">
        <v>327</v>
      </c>
    </row>
    <row r="351" spans="1:21" x14ac:dyDescent="0.25">
      <c r="A351" s="7"/>
      <c r="B351" s="671" t="s">
        <v>81</v>
      </c>
      <c r="C351" s="672"/>
      <c r="D351" s="672"/>
      <c r="E351" s="672"/>
      <c r="F351" s="672"/>
      <c r="G351" s="672"/>
      <c r="H351" s="672"/>
      <c r="I351" s="672"/>
      <c r="J351" s="672"/>
      <c r="K351" s="672"/>
      <c r="L351" s="673"/>
      <c r="M351" s="10"/>
    </row>
    <row r="352" spans="1:21" x14ac:dyDescent="0.25">
      <c r="A352" s="7"/>
      <c r="B352" s="16"/>
      <c r="C352" s="35"/>
      <c r="D352" s="36"/>
      <c r="E352" s="36"/>
      <c r="F352" s="36"/>
      <c r="G352" s="36"/>
      <c r="H352" s="36"/>
      <c r="I352" s="36"/>
      <c r="J352" s="36"/>
      <c r="K352" s="36"/>
      <c r="L352" s="17"/>
      <c r="M352" s="10"/>
    </row>
    <row r="353" spans="1:21" x14ac:dyDescent="0.25">
      <c r="A353" s="7"/>
      <c r="B353" s="527" t="str">
        <f>IF(Intro!$G$20="English",O353,P353)</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c r="C353" s="528"/>
      <c r="D353" s="528"/>
      <c r="E353" s="528"/>
      <c r="F353" s="528"/>
      <c r="G353" s="528"/>
      <c r="H353" s="528"/>
      <c r="I353" s="528"/>
      <c r="J353" s="528"/>
      <c r="K353" s="528"/>
      <c r="L353" s="529"/>
      <c r="M353" s="10"/>
      <c r="O353" s="18"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353" s="10"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354" spans="1:21" x14ac:dyDescent="0.25">
      <c r="A354" s="7"/>
      <c r="B354" s="527"/>
      <c r="C354" s="528"/>
      <c r="D354" s="528"/>
      <c r="E354" s="528"/>
      <c r="F354" s="528"/>
      <c r="G354" s="528"/>
      <c r="H354" s="528"/>
      <c r="I354" s="528"/>
      <c r="J354" s="528"/>
      <c r="K354" s="528"/>
      <c r="L354" s="529"/>
      <c r="M354" s="10"/>
      <c r="O354" s="18"/>
    </row>
    <row r="355" spans="1:21" s="38" customFormat="1" x14ac:dyDescent="0.25">
      <c r="A355" s="94"/>
      <c r="B355" s="53"/>
      <c r="C355" s="93"/>
      <c r="D355" s="93"/>
      <c r="E355" s="93"/>
      <c r="F355" s="93"/>
      <c r="G355" s="93"/>
      <c r="H355" s="93"/>
      <c r="I355" s="93"/>
      <c r="J355" s="93"/>
      <c r="K355" s="93"/>
      <c r="L355" s="54"/>
      <c r="O355" s="10"/>
      <c r="P355" s="10"/>
      <c r="Q355" s="10"/>
      <c r="R355" s="10"/>
      <c r="S355" s="10"/>
      <c r="T355" s="10"/>
      <c r="U355" s="10"/>
    </row>
    <row r="356" spans="1:21" s="11" customFormat="1" x14ac:dyDescent="0.25">
      <c r="A356" s="8"/>
      <c r="B356" s="663"/>
      <c r="C356" s="664"/>
      <c r="D356" s="664"/>
      <c r="E356" s="664"/>
      <c r="F356" s="664"/>
      <c r="G356" s="664"/>
      <c r="H356" s="664"/>
      <c r="I356" s="664"/>
      <c r="J356" s="664"/>
      <c r="K356" s="664"/>
      <c r="L356" s="665"/>
      <c r="M356" s="38"/>
      <c r="Q356" s="10"/>
    </row>
    <row r="357" spans="1:21" s="11" customFormat="1" x14ac:dyDescent="0.25">
      <c r="A357" s="8"/>
      <c r="B357" s="663"/>
      <c r="C357" s="664"/>
      <c r="D357" s="664"/>
      <c r="E357" s="664"/>
      <c r="F357" s="664"/>
      <c r="G357" s="664"/>
      <c r="H357" s="664"/>
      <c r="I357" s="664"/>
      <c r="J357" s="664"/>
      <c r="K357" s="664"/>
      <c r="L357" s="665"/>
      <c r="M357" s="38"/>
      <c r="Q357" s="10"/>
    </row>
    <row r="358" spans="1:21" s="11" customFormat="1" x14ac:dyDescent="0.25">
      <c r="A358" s="8"/>
      <c r="B358" s="663"/>
      <c r="C358" s="664"/>
      <c r="D358" s="664"/>
      <c r="E358" s="664"/>
      <c r="F358" s="664"/>
      <c r="G358" s="664"/>
      <c r="H358" s="664"/>
      <c r="I358" s="664"/>
      <c r="J358" s="664"/>
      <c r="K358" s="664"/>
      <c r="L358" s="665"/>
      <c r="M358" s="38"/>
      <c r="Q358" s="10"/>
    </row>
    <row r="359" spans="1:21" s="11" customFormat="1" x14ac:dyDescent="0.25">
      <c r="A359" s="8"/>
      <c r="B359" s="663"/>
      <c r="C359" s="664"/>
      <c r="D359" s="664"/>
      <c r="E359" s="664"/>
      <c r="F359" s="664"/>
      <c r="G359" s="664"/>
      <c r="H359" s="664"/>
      <c r="I359" s="664"/>
      <c r="J359" s="664"/>
      <c r="K359" s="664"/>
      <c r="L359" s="665"/>
      <c r="M359" s="38"/>
      <c r="Q359" s="10"/>
    </row>
    <row r="360" spans="1:21" s="11" customFormat="1" x14ac:dyDescent="0.25">
      <c r="A360" s="8"/>
      <c r="B360" s="663"/>
      <c r="C360" s="664"/>
      <c r="D360" s="664"/>
      <c r="E360" s="664"/>
      <c r="F360" s="664"/>
      <c r="G360" s="664"/>
      <c r="H360" s="664"/>
      <c r="I360" s="664"/>
      <c r="J360" s="664"/>
      <c r="K360" s="664"/>
      <c r="L360" s="665"/>
      <c r="M360" s="38"/>
      <c r="Q360" s="10"/>
    </row>
    <row r="361" spans="1:21" s="11" customFormat="1" x14ac:dyDescent="0.25">
      <c r="A361" s="8"/>
      <c r="B361" s="663"/>
      <c r="C361" s="664"/>
      <c r="D361" s="664"/>
      <c r="E361" s="664"/>
      <c r="F361" s="664"/>
      <c r="G361" s="664"/>
      <c r="H361" s="664"/>
      <c r="I361" s="664"/>
      <c r="J361" s="664"/>
      <c r="K361" s="664"/>
      <c r="L361" s="665"/>
      <c r="M361" s="38"/>
      <c r="Q361" s="10"/>
    </row>
    <row r="362" spans="1:21" s="11" customFormat="1" x14ac:dyDescent="0.25">
      <c r="A362" s="8"/>
      <c r="B362" s="663"/>
      <c r="C362" s="664"/>
      <c r="D362" s="664"/>
      <c r="E362" s="664"/>
      <c r="F362" s="664"/>
      <c r="G362" s="664"/>
      <c r="H362" s="664"/>
      <c r="I362" s="664"/>
      <c r="J362" s="664"/>
      <c r="K362" s="664"/>
      <c r="L362" s="665"/>
      <c r="M362" s="38"/>
      <c r="Q362" s="10"/>
    </row>
    <row r="363" spans="1:21" s="11" customFormat="1" x14ac:dyDescent="0.25">
      <c r="A363" s="8"/>
      <c r="B363" s="663"/>
      <c r="C363" s="664"/>
      <c r="D363" s="664"/>
      <c r="E363" s="664"/>
      <c r="F363" s="664"/>
      <c r="G363" s="664"/>
      <c r="H363" s="664"/>
      <c r="I363" s="664"/>
      <c r="J363" s="664"/>
      <c r="K363" s="664"/>
      <c r="L363" s="665"/>
      <c r="M363" s="38"/>
      <c r="Q363" s="10"/>
    </row>
    <row r="364" spans="1:21" s="38" customFormat="1" x14ac:dyDescent="0.25">
      <c r="A364" s="94"/>
      <c r="B364" s="50"/>
      <c r="C364" s="51"/>
      <c r="D364" s="51"/>
      <c r="E364" s="51"/>
      <c r="F364" s="51"/>
      <c r="G364" s="51"/>
      <c r="H364" s="51"/>
      <c r="I364" s="51"/>
      <c r="J364" s="51"/>
      <c r="K364" s="51"/>
      <c r="L364" s="52"/>
      <c r="O364" s="10"/>
      <c r="P364" s="10"/>
      <c r="Q364" s="10"/>
      <c r="R364" s="10"/>
      <c r="S364" s="10"/>
      <c r="T364" s="10"/>
      <c r="U364" s="10"/>
    </row>
    <row r="365" spans="1:21" x14ac:dyDescent="0.25">
      <c r="A365" s="7"/>
      <c r="B365" s="674" t="s">
        <v>82</v>
      </c>
      <c r="C365" s="675"/>
      <c r="D365" s="675"/>
      <c r="E365" s="675"/>
      <c r="F365" s="675"/>
      <c r="G365" s="675"/>
      <c r="H365" s="675"/>
      <c r="I365" s="675"/>
      <c r="J365" s="675"/>
      <c r="K365" s="675"/>
      <c r="L365" s="676"/>
      <c r="M365" s="10"/>
    </row>
    <row r="366" spans="1:21" x14ac:dyDescent="0.25">
      <c r="A366" s="7"/>
      <c r="B366" s="16"/>
      <c r="C366" s="35"/>
      <c r="D366" s="36"/>
      <c r="E366" s="36"/>
      <c r="F366" s="36"/>
      <c r="G366" s="36"/>
      <c r="H366" s="36"/>
      <c r="I366" s="36"/>
      <c r="J366" s="36"/>
      <c r="K366" s="36"/>
      <c r="L366" s="17"/>
      <c r="M366" s="10"/>
    </row>
    <row r="367" spans="1:21" x14ac:dyDescent="0.25">
      <c r="A367" s="7"/>
      <c r="B367" s="527" t="str">
        <f>IF(Intro!$G$20="English",O367,P367)</f>
        <v>Expliquez les changements que vous prévoyez voir sur le marché canadien et sur d’autres marchés mondiaux pour les marchandises au cours des deux prochaines années en ce qui concerne la demande, les prix, les volumes d’importation ou tout autre facteur.</v>
      </c>
      <c r="C367" s="528"/>
      <c r="D367" s="528"/>
      <c r="E367" s="528"/>
      <c r="F367" s="528"/>
      <c r="G367" s="528"/>
      <c r="H367" s="528"/>
      <c r="I367" s="528"/>
      <c r="J367" s="528"/>
      <c r="K367" s="528"/>
      <c r="L367" s="529"/>
      <c r="M367" s="10"/>
      <c r="O367" s="18" t="s">
        <v>239</v>
      </c>
      <c r="P367" s="10" t="s">
        <v>188</v>
      </c>
    </row>
    <row r="368" spans="1:21" x14ac:dyDescent="0.25">
      <c r="A368" s="7"/>
      <c r="B368" s="527"/>
      <c r="C368" s="528"/>
      <c r="D368" s="528"/>
      <c r="E368" s="528"/>
      <c r="F368" s="528"/>
      <c r="G368" s="528"/>
      <c r="H368" s="528"/>
      <c r="I368" s="528"/>
      <c r="J368" s="528"/>
      <c r="K368" s="528"/>
      <c r="L368" s="529"/>
      <c r="M368" s="10"/>
      <c r="O368" s="18"/>
    </row>
    <row r="369" spans="1:21" s="38" customFormat="1" x14ac:dyDescent="0.25">
      <c r="A369" s="94"/>
      <c r="B369" s="53"/>
      <c r="C369" s="93"/>
      <c r="D369" s="93"/>
      <c r="E369" s="93"/>
      <c r="F369" s="93"/>
      <c r="G369" s="93"/>
      <c r="H369" s="93"/>
      <c r="I369" s="93"/>
      <c r="J369" s="93"/>
      <c r="K369" s="93"/>
      <c r="L369" s="54"/>
      <c r="O369" s="10"/>
      <c r="P369" s="10"/>
      <c r="Q369" s="10"/>
      <c r="R369" s="10"/>
      <c r="S369" s="10"/>
      <c r="T369" s="10"/>
      <c r="U369" s="10"/>
    </row>
    <row r="370" spans="1:21" s="11" customFormat="1" x14ac:dyDescent="0.25">
      <c r="A370" s="8"/>
      <c r="B370" s="663"/>
      <c r="C370" s="664"/>
      <c r="D370" s="664"/>
      <c r="E370" s="664"/>
      <c r="F370" s="664"/>
      <c r="G370" s="664"/>
      <c r="H370" s="664"/>
      <c r="I370" s="664"/>
      <c r="J370" s="664"/>
      <c r="K370" s="664"/>
      <c r="L370" s="665"/>
      <c r="M370" s="38"/>
      <c r="Q370" s="10"/>
    </row>
    <row r="371" spans="1:21" s="11" customFormat="1" x14ac:dyDescent="0.25">
      <c r="A371" s="8"/>
      <c r="B371" s="663"/>
      <c r="C371" s="664"/>
      <c r="D371" s="664"/>
      <c r="E371" s="664"/>
      <c r="F371" s="664"/>
      <c r="G371" s="664"/>
      <c r="H371" s="664"/>
      <c r="I371" s="664"/>
      <c r="J371" s="664"/>
      <c r="K371" s="664"/>
      <c r="L371" s="665"/>
      <c r="M371" s="38"/>
      <c r="Q371" s="10"/>
    </row>
    <row r="372" spans="1:21" s="11" customFormat="1" x14ac:dyDescent="0.25">
      <c r="A372" s="8"/>
      <c r="B372" s="663"/>
      <c r="C372" s="664"/>
      <c r="D372" s="664"/>
      <c r="E372" s="664"/>
      <c r="F372" s="664"/>
      <c r="G372" s="664"/>
      <c r="H372" s="664"/>
      <c r="I372" s="664"/>
      <c r="J372" s="664"/>
      <c r="K372" s="664"/>
      <c r="L372" s="665"/>
      <c r="M372" s="38"/>
      <c r="Q372" s="10"/>
    </row>
    <row r="373" spans="1:21" s="11" customFormat="1" x14ac:dyDescent="0.25">
      <c r="A373" s="8"/>
      <c r="B373" s="663"/>
      <c r="C373" s="664"/>
      <c r="D373" s="664"/>
      <c r="E373" s="664"/>
      <c r="F373" s="664"/>
      <c r="G373" s="664"/>
      <c r="H373" s="664"/>
      <c r="I373" s="664"/>
      <c r="J373" s="664"/>
      <c r="K373" s="664"/>
      <c r="L373" s="665"/>
      <c r="M373" s="38"/>
      <c r="Q373" s="10"/>
    </row>
    <row r="374" spans="1:21" s="11" customFormat="1" x14ac:dyDescent="0.25">
      <c r="A374" s="8"/>
      <c r="B374" s="663"/>
      <c r="C374" s="664"/>
      <c r="D374" s="664"/>
      <c r="E374" s="664"/>
      <c r="F374" s="664"/>
      <c r="G374" s="664"/>
      <c r="H374" s="664"/>
      <c r="I374" s="664"/>
      <c r="J374" s="664"/>
      <c r="K374" s="664"/>
      <c r="L374" s="665"/>
      <c r="M374" s="38"/>
      <c r="Q374" s="10"/>
    </row>
    <row r="375" spans="1:21" s="11" customFormat="1" x14ac:dyDescent="0.25">
      <c r="A375" s="8"/>
      <c r="B375" s="663"/>
      <c r="C375" s="664"/>
      <c r="D375" s="664"/>
      <c r="E375" s="664"/>
      <c r="F375" s="664"/>
      <c r="G375" s="664"/>
      <c r="H375" s="664"/>
      <c r="I375" s="664"/>
      <c r="J375" s="664"/>
      <c r="K375" s="664"/>
      <c r="L375" s="665"/>
      <c r="M375" s="38"/>
      <c r="Q375" s="10"/>
    </row>
    <row r="376" spans="1:21" s="11" customFormat="1" x14ac:dyDescent="0.25">
      <c r="A376" s="8"/>
      <c r="B376" s="663"/>
      <c r="C376" s="664"/>
      <c r="D376" s="664"/>
      <c r="E376" s="664"/>
      <c r="F376" s="664"/>
      <c r="G376" s="664"/>
      <c r="H376" s="664"/>
      <c r="I376" s="664"/>
      <c r="J376" s="664"/>
      <c r="K376" s="664"/>
      <c r="L376" s="665"/>
      <c r="M376" s="38"/>
      <c r="Q376" s="10"/>
    </row>
    <row r="377" spans="1:21" s="11" customFormat="1" x14ac:dyDescent="0.25">
      <c r="A377" s="8"/>
      <c r="B377" s="663"/>
      <c r="C377" s="664"/>
      <c r="D377" s="664"/>
      <c r="E377" s="664"/>
      <c r="F377" s="664"/>
      <c r="G377" s="664"/>
      <c r="H377" s="664"/>
      <c r="I377" s="664"/>
      <c r="J377" s="664"/>
      <c r="K377" s="664"/>
      <c r="L377" s="665"/>
      <c r="M377" s="38"/>
      <c r="Q377" s="10"/>
    </row>
    <row r="378" spans="1:21" s="38" customFormat="1" x14ac:dyDescent="0.25">
      <c r="A378" s="94"/>
      <c r="B378" s="50"/>
      <c r="C378" s="51"/>
      <c r="D378" s="51"/>
      <c r="E378" s="51"/>
      <c r="F378" s="51"/>
      <c r="G378" s="51"/>
      <c r="H378" s="51"/>
      <c r="I378" s="51"/>
      <c r="J378" s="51"/>
      <c r="K378" s="51"/>
      <c r="L378" s="52"/>
      <c r="O378" s="10"/>
      <c r="P378" s="10"/>
      <c r="Q378" s="10"/>
      <c r="R378" s="10"/>
      <c r="S378" s="10"/>
      <c r="T378" s="10"/>
      <c r="U378" s="10"/>
    </row>
    <row r="379" spans="1:21" x14ac:dyDescent="0.25">
      <c r="B379" s="694" t="s">
        <v>83</v>
      </c>
      <c r="C379" s="695"/>
      <c r="D379" s="695"/>
      <c r="E379" s="695"/>
      <c r="F379" s="696"/>
      <c r="G379" s="696"/>
      <c r="H379" s="696"/>
      <c r="I379" s="696"/>
      <c r="J379" s="696"/>
      <c r="K379" s="696"/>
      <c r="L379" s="697"/>
    </row>
    <row r="380" spans="1:21" x14ac:dyDescent="0.25">
      <c r="B380" s="56"/>
      <c r="C380" s="57"/>
      <c r="D380" s="57"/>
      <c r="E380" s="57"/>
      <c r="F380" s="40"/>
      <c r="G380" s="40"/>
      <c r="H380" s="40"/>
      <c r="I380" s="40"/>
      <c r="J380" s="40"/>
      <c r="K380" s="40"/>
      <c r="L380" s="58"/>
    </row>
    <row r="381" spans="1:21" x14ac:dyDescent="0.25">
      <c r="B381" s="527" t="str">
        <f>IF(Intro!$G$20="English",O381,P381)</f>
        <v>Expliquez les effets possibles sur ces perspectives advenant des conclusions du dommage ou du menace de dommage. Fournissez des documents, ou les noms de documents, tels que des études ou des articles dans des revues spécialisées, qui appuient la déclaration de votre entreprise.</v>
      </c>
      <c r="C381" s="528"/>
      <c r="D381" s="528"/>
      <c r="E381" s="528"/>
      <c r="F381" s="528"/>
      <c r="G381" s="528"/>
      <c r="H381" s="528"/>
      <c r="I381" s="528"/>
      <c r="J381" s="528"/>
      <c r="K381" s="528"/>
      <c r="L381" s="529"/>
      <c r="O381" s="55" t="s">
        <v>364</v>
      </c>
      <c r="P381" s="15" t="s">
        <v>365</v>
      </c>
      <c r="Q381" s="15"/>
    </row>
    <row r="382" spans="1:21" x14ac:dyDescent="0.25">
      <c r="B382" s="527"/>
      <c r="C382" s="528"/>
      <c r="D382" s="528"/>
      <c r="E382" s="528"/>
      <c r="F382" s="528"/>
      <c r="G382" s="528"/>
      <c r="H382" s="528"/>
      <c r="I382" s="528"/>
      <c r="J382" s="528"/>
      <c r="K382" s="528"/>
      <c r="L382" s="529"/>
      <c r="O382" s="55"/>
      <c r="P382" s="118"/>
      <c r="Q382" s="118"/>
    </row>
    <row r="383" spans="1:21" x14ac:dyDescent="0.25">
      <c r="B383" s="65"/>
      <c r="C383" s="68"/>
      <c r="D383" s="68"/>
      <c r="E383" s="68"/>
      <c r="F383" s="68"/>
      <c r="G383" s="68"/>
      <c r="H383" s="68"/>
      <c r="I383" s="68"/>
      <c r="J383" s="68"/>
      <c r="K383" s="68"/>
      <c r="L383" s="67"/>
      <c r="O383" s="59"/>
      <c r="P383" s="59"/>
      <c r="Q383" s="60"/>
    </row>
    <row r="384" spans="1:21" s="11" customFormat="1" x14ac:dyDescent="0.25">
      <c r="A384" s="8"/>
      <c r="B384" s="663"/>
      <c r="C384" s="664"/>
      <c r="D384" s="664"/>
      <c r="E384" s="664"/>
      <c r="F384" s="664"/>
      <c r="G384" s="664"/>
      <c r="H384" s="664"/>
      <c r="I384" s="664"/>
      <c r="J384" s="664"/>
      <c r="K384" s="664"/>
      <c r="L384" s="665"/>
      <c r="M384" s="38"/>
      <c r="Q384" s="10"/>
    </row>
    <row r="385" spans="1:17" s="11" customFormat="1" x14ac:dyDescent="0.25">
      <c r="A385" s="8"/>
      <c r="B385" s="663"/>
      <c r="C385" s="664"/>
      <c r="D385" s="664"/>
      <c r="E385" s="664"/>
      <c r="F385" s="664"/>
      <c r="G385" s="664"/>
      <c r="H385" s="664"/>
      <c r="I385" s="664"/>
      <c r="J385" s="664"/>
      <c r="K385" s="664"/>
      <c r="L385" s="665"/>
      <c r="M385" s="38"/>
      <c r="Q385" s="10"/>
    </row>
    <row r="386" spans="1:17" s="11" customFormat="1" x14ac:dyDescent="0.25">
      <c r="A386" s="8"/>
      <c r="B386" s="663"/>
      <c r="C386" s="664"/>
      <c r="D386" s="664"/>
      <c r="E386" s="664"/>
      <c r="F386" s="664"/>
      <c r="G386" s="664"/>
      <c r="H386" s="664"/>
      <c r="I386" s="664"/>
      <c r="J386" s="664"/>
      <c r="K386" s="664"/>
      <c r="L386" s="665"/>
      <c r="M386" s="38"/>
      <c r="Q386" s="10"/>
    </row>
    <row r="387" spans="1:17" s="11" customFormat="1" x14ac:dyDescent="0.25">
      <c r="A387" s="8"/>
      <c r="B387" s="663"/>
      <c r="C387" s="664"/>
      <c r="D387" s="664"/>
      <c r="E387" s="664"/>
      <c r="F387" s="664"/>
      <c r="G387" s="664"/>
      <c r="H387" s="664"/>
      <c r="I387" s="664"/>
      <c r="J387" s="664"/>
      <c r="K387" s="664"/>
      <c r="L387" s="665"/>
      <c r="M387" s="38"/>
      <c r="Q387" s="10"/>
    </row>
    <row r="388" spans="1:17" s="11" customFormat="1" x14ac:dyDescent="0.25">
      <c r="A388" s="8"/>
      <c r="B388" s="663"/>
      <c r="C388" s="664"/>
      <c r="D388" s="664"/>
      <c r="E388" s="664"/>
      <c r="F388" s="664"/>
      <c r="G388" s="664"/>
      <c r="H388" s="664"/>
      <c r="I388" s="664"/>
      <c r="J388" s="664"/>
      <c r="K388" s="664"/>
      <c r="L388" s="665"/>
      <c r="M388" s="38"/>
      <c r="Q388" s="10"/>
    </row>
    <row r="389" spans="1:17" s="11" customFormat="1" x14ac:dyDescent="0.25">
      <c r="A389" s="8"/>
      <c r="B389" s="663"/>
      <c r="C389" s="664"/>
      <c r="D389" s="664"/>
      <c r="E389" s="664"/>
      <c r="F389" s="664"/>
      <c r="G389" s="664"/>
      <c r="H389" s="664"/>
      <c r="I389" s="664"/>
      <c r="J389" s="664"/>
      <c r="K389" s="664"/>
      <c r="L389" s="665"/>
      <c r="M389" s="38"/>
      <c r="Q389" s="10"/>
    </row>
    <row r="390" spans="1:17" s="11" customFormat="1" x14ac:dyDescent="0.25">
      <c r="A390" s="8"/>
      <c r="B390" s="663"/>
      <c r="C390" s="664"/>
      <c r="D390" s="664"/>
      <c r="E390" s="664"/>
      <c r="F390" s="664"/>
      <c r="G390" s="664"/>
      <c r="H390" s="664"/>
      <c r="I390" s="664"/>
      <c r="J390" s="664"/>
      <c r="K390" s="664"/>
      <c r="L390" s="665"/>
      <c r="M390" s="38"/>
      <c r="Q390" s="10"/>
    </row>
    <row r="391" spans="1:17" s="11" customFormat="1" x14ac:dyDescent="0.25">
      <c r="A391" s="8"/>
      <c r="B391" s="663"/>
      <c r="C391" s="664"/>
      <c r="D391" s="664"/>
      <c r="E391" s="664"/>
      <c r="F391" s="664"/>
      <c r="G391" s="664"/>
      <c r="H391" s="664"/>
      <c r="I391" s="664"/>
      <c r="J391" s="664"/>
      <c r="K391" s="664"/>
      <c r="L391" s="665"/>
      <c r="M391" s="38"/>
      <c r="Q391" s="10"/>
    </row>
    <row r="392" spans="1:17" x14ac:dyDescent="0.25">
      <c r="B392" s="677"/>
      <c r="C392" s="678"/>
      <c r="D392" s="678"/>
      <c r="E392" s="678"/>
      <c r="F392" s="678"/>
      <c r="G392" s="678"/>
      <c r="H392" s="678"/>
      <c r="I392" s="678"/>
      <c r="J392" s="678"/>
      <c r="K392" s="678"/>
      <c r="L392" s="679"/>
    </row>
  </sheetData>
  <sheetProtection algorithmName="SHA-512" hashValue="FAt5uIL7FMgE0sKap9E2NzEbMQmUOU+QZOLOhu1Cpwvh4hY6sOAjDs2F8QujRQB7OMqAIGihk5CE//dHkhfDCA==" saltValue="d7Inu5o2AM+pDta21fQHQw==" spinCount="100000" sheet="1" objects="1" scenarios="1" selectLockedCells="1"/>
  <mergeCells count="161">
    <mergeCell ref="J45:L46"/>
    <mergeCell ref="J43:L44"/>
    <mergeCell ref="B39:L41"/>
    <mergeCell ref="B19:J20"/>
    <mergeCell ref="K19:K20"/>
    <mergeCell ref="B321:G321"/>
    <mergeCell ref="B379:L379"/>
    <mergeCell ref="B195:L195"/>
    <mergeCell ref="B206:L206"/>
    <mergeCell ref="E47:F48"/>
    <mergeCell ref="G47:I48"/>
    <mergeCell ref="J47:L48"/>
    <mergeCell ref="C53:D54"/>
    <mergeCell ref="E53:F54"/>
    <mergeCell ref="G53:I54"/>
    <mergeCell ref="J53:L54"/>
    <mergeCell ref="B55:B56"/>
    <mergeCell ref="C55:D56"/>
    <mergeCell ref="E55:F56"/>
    <mergeCell ref="G55:I56"/>
    <mergeCell ref="J55:L56"/>
    <mergeCell ref="D149:L153"/>
    <mergeCell ref="B154:C158"/>
    <mergeCell ref="D154:L158"/>
    <mergeCell ref="B13:L13"/>
    <mergeCell ref="B24:L24"/>
    <mergeCell ref="B37:L37"/>
    <mergeCell ref="B66:L66"/>
    <mergeCell ref="B81:L81"/>
    <mergeCell ref="B95:L95"/>
    <mergeCell ref="B111:L111"/>
    <mergeCell ref="B124:L124"/>
    <mergeCell ref="B145:L145"/>
    <mergeCell ref="G59:I60"/>
    <mergeCell ref="J59:L60"/>
    <mergeCell ref="C43:D44"/>
    <mergeCell ref="E43:F44"/>
    <mergeCell ref="G43:I44"/>
    <mergeCell ref="B51:B52"/>
    <mergeCell ref="C51:D52"/>
    <mergeCell ref="E51:F52"/>
    <mergeCell ref="G51:I52"/>
    <mergeCell ref="J51:L52"/>
    <mergeCell ref="G45:I46"/>
    <mergeCell ref="G49:I50"/>
    <mergeCell ref="J49:L50"/>
    <mergeCell ref="B47:B48"/>
    <mergeCell ref="C47:D48"/>
    <mergeCell ref="E57:F58"/>
    <mergeCell ref="G57:I58"/>
    <mergeCell ref="J57:L58"/>
    <mergeCell ref="B59:B60"/>
    <mergeCell ref="C59:D60"/>
    <mergeCell ref="E59:F60"/>
    <mergeCell ref="B384:L391"/>
    <mergeCell ref="B61:B62"/>
    <mergeCell ref="C61:D62"/>
    <mergeCell ref="E61:F62"/>
    <mergeCell ref="G61:I62"/>
    <mergeCell ref="J61:L62"/>
    <mergeCell ref="B63:B64"/>
    <mergeCell ref="C63:D64"/>
    <mergeCell ref="E63:F64"/>
    <mergeCell ref="B165:L165"/>
    <mergeCell ref="B193:L193"/>
    <mergeCell ref="B179:L179"/>
    <mergeCell ref="B57:B58"/>
    <mergeCell ref="B110:L110"/>
    <mergeCell ref="G63:I64"/>
    <mergeCell ref="B149:C153"/>
    <mergeCell ref="B70:L77"/>
    <mergeCell ref="B86:L93"/>
    <mergeCell ref="B100:L107"/>
    <mergeCell ref="B115:L122"/>
    <mergeCell ref="B134:L141"/>
    <mergeCell ref="B83:L84"/>
    <mergeCell ref="B113:L113"/>
    <mergeCell ref="B381:L382"/>
    <mergeCell ref="B392:L392"/>
    <mergeCell ref="B212:L219"/>
    <mergeCell ref="B225:L232"/>
    <mergeCell ref="B238:L245"/>
    <mergeCell ref="B252:L259"/>
    <mergeCell ref="B267:L274"/>
    <mergeCell ref="B280:L287"/>
    <mergeCell ref="B221:L221"/>
    <mergeCell ref="B129:G129"/>
    <mergeCell ref="B128:G128"/>
    <mergeCell ref="B130:G130"/>
    <mergeCell ref="B356:L363"/>
    <mergeCell ref="B294:L301"/>
    <mergeCell ref="B308:L315"/>
    <mergeCell ref="B327:L334"/>
    <mergeCell ref="B322:G322"/>
    <mergeCell ref="B323:G323"/>
    <mergeCell ref="B365:L365"/>
    <mergeCell ref="D159:L163"/>
    <mergeCell ref="B167:L168"/>
    <mergeCell ref="B181:L182"/>
    <mergeCell ref="B208:L208"/>
    <mergeCell ref="B276:L276"/>
    <mergeCell ref="B289:L289"/>
    <mergeCell ref="B303:L303"/>
    <mergeCell ref="B317:L317"/>
    <mergeCell ref="B234:L234"/>
    <mergeCell ref="B247:L247"/>
    <mergeCell ref="B170:L177"/>
    <mergeCell ref="B223:L223"/>
    <mergeCell ref="B236:L236"/>
    <mergeCell ref="B210:C210"/>
    <mergeCell ref="B159:C163"/>
    <mergeCell ref="B184:L191"/>
    <mergeCell ref="B197:L204"/>
    <mergeCell ref="J63:L64"/>
    <mergeCell ref="B45:B46"/>
    <mergeCell ref="C45:D46"/>
    <mergeCell ref="E45:F46"/>
    <mergeCell ref="C49:D50"/>
    <mergeCell ref="E49:F50"/>
    <mergeCell ref="B15:L15"/>
    <mergeCell ref="B370:L377"/>
    <mergeCell ref="B367:L368"/>
    <mergeCell ref="B340:L347"/>
    <mergeCell ref="B249:L250"/>
    <mergeCell ref="B278:L278"/>
    <mergeCell ref="B291:L292"/>
    <mergeCell ref="B305:L306"/>
    <mergeCell ref="B265:L265"/>
    <mergeCell ref="B319:L319"/>
    <mergeCell ref="B353:L354"/>
    <mergeCell ref="B325:L325"/>
    <mergeCell ref="B263:L263"/>
    <mergeCell ref="B336:L336"/>
    <mergeCell ref="B351:L351"/>
    <mergeCell ref="B262:L262"/>
    <mergeCell ref="B350:L350"/>
    <mergeCell ref="B338:L338"/>
    <mergeCell ref="B17:J17"/>
    <mergeCell ref="B18:J18"/>
    <mergeCell ref="B21:J22"/>
    <mergeCell ref="K21:K22"/>
    <mergeCell ref="B4:L4"/>
    <mergeCell ref="B5:L5"/>
    <mergeCell ref="B6:L6"/>
    <mergeCell ref="B147:L147"/>
    <mergeCell ref="B68:L68"/>
    <mergeCell ref="B8:L8"/>
    <mergeCell ref="B9:L9"/>
    <mergeCell ref="B10:L10"/>
    <mergeCell ref="B26:L26"/>
    <mergeCell ref="B12:L12"/>
    <mergeCell ref="B28:L35"/>
    <mergeCell ref="B126:L126"/>
    <mergeCell ref="B132:L132"/>
    <mergeCell ref="B97:L98"/>
    <mergeCell ref="B53:B54"/>
    <mergeCell ref="B43:B44"/>
    <mergeCell ref="B49:B50"/>
    <mergeCell ref="B80:L80"/>
    <mergeCell ref="B144:L144"/>
    <mergeCell ref="C57:D58"/>
  </mergeCells>
  <dataValidations xWindow="207" yWindow="552"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72:B173 B384 B28 B70:B72 B103:B104 B100 B115 B134 B170 B184 B197 B212 B225 B238 B252 B267 B280 B294 B308 B327 B340 B356 B370 B186:B187 B199:B200 B214:B215 B227:B228 B241:B242 B255:B256 B270:B271 B283:B284 B297:B298 B310:B311 B330:B331 B343:B344 B359:B360 B373:B374 B387:B388 B117:B118 B137:B138 B86:B88" xr:uid="{0155555F-4732-48E6-8926-69F0399FC606}">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210" xr:uid="{6FC76BB9-7D2B-4EF9-A9AF-552B723B2C27}">
      <formula1>0</formula1>
    </dataValidation>
    <dataValidation type="list" allowBlank="1" showInputMessage="1" showErrorMessage="1" sqref="H321:H323 H128:H130 K17:K22" xr:uid="{BD7DB883-1F69-448C-8E07-37F45C721AFD}">
      <formula1>"X"</formula1>
    </dataValidation>
  </dataValidations>
  <printOptions horizontalCentered="1"/>
  <pageMargins left="0.25" right="0.25" top="0.75" bottom="0.75" header="0.3" footer="0.3"/>
  <pageSetup scale="63" fitToHeight="0" orientation="portrait" r:id="rId1"/>
  <headerFooter>
    <oddFooter>&amp;L&amp;A</oddFooter>
  </headerFooter>
  <rowBreaks count="6" manualBreakCount="6">
    <brk id="65" min="1" max="11" man="1"/>
    <brk id="122" min="1" max="11" man="1"/>
    <brk id="178" min="1" max="11" man="1"/>
    <brk id="233" min="1" max="11" man="1"/>
    <brk id="288" min="1" max="11" man="1"/>
    <brk id="335"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election activeCell="O1" sqref="O1:P1048576"/>
    </sheetView>
  </sheetViews>
  <sheetFormatPr defaultColWidth="9.140625" defaultRowHeight="14.25" x14ac:dyDescent="0.25"/>
  <cols>
    <col min="1" max="1" width="1.85546875" style="8" customWidth="1"/>
    <col min="2" max="2" width="12.140625" style="1" customWidth="1"/>
    <col min="3" max="3" width="5.85546875" style="1" customWidth="1"/>
    <col min="4" max="4" width="18.5703125" style="1" customWidth="1"/>
    <col min="5" max="12" width="15.42578125" style="1" customWidth="1"/>
    <col min="13" max="13" width="6.140625" style="9" customWidth="1"/>
    <col min="14" max="14" width="9.140625" style="10" customWidth="1"/>
    <col min="15" max="15" width="37.140625" style="10" hidden="1" customWidth="1"/>
    <col min="16" max="16" width="25.5703125" style="10" hidden="1" customWidth="1"/>
    <col min="17" max="17" width="9.140625" style="10" customWidth="1"/>
    <col min="18" max="16384" width="9.140625" style="10"/>
  </cols>
  <sheetData>
    <row r="1" spans="1:16" x14ac:dyDescent="0.25">
      <c r="O1" s="10" t="s">
        <v>419</v>
      </c>
      <c r="P1" s="10" t="s">
        <v>419</v>
      </c>
    </row>
    <row r="2" spans="1:16" x14ac:dyDescent="0.25">
      <c r="B2" s="12" t="s">
        <v>66</v>
      </c>
      <c r="C2" s="12"/>
      <c r="O2" s="161" t="s">
        <v>93</v>
      </c>
      <c r="P2" s="161" t="s">
        <v>109</v>
      </c>
    </row>
    <row r="3" spans="1:16" x14ac:dyDescent="0.25">
      <c r="B3" s="13"/>
      <c r="C3" s="13"/>
      <c r="O3" s="2"/>
      <c r="P3" s="2"/>
    </row>
    <row r="4" spans="1:16" s="2" customFormat="1" x14ac:dyDescent="0.25">
      <c r="A4" s="4"/>
      <c r="B4" s="615" t="str">
        <f>Info!B4</f>
        <v>QUESTIONNAIRE À L'INTENTION DES IMPORTATEURS</v>
      </c>
      <c r="C4" s="616"/>
      <c r="D4" s="616"/>
      <c r="E4" s="616"/>
      <c r="F4" s="616"/>
      <c r="G4" s="616"/>
      <c r="H4" s="616"/>
      <c r="I4" s="616"/>
      <c r="J4" s="616"/>
      <c r="K4" s="616"/>
      <c r="L4" s="617"/>
      <c r="M4" s="25"/>
      <c r="N4" s="25"/>
      <c r="O4" s="19"/>
      <c r="P4" s="19"/>
    </row>
    <row r="5" spans="1:16" s="2" customFormat="1" x14ac:dyDescent="0.25">
      <c r="A5" s="4"/>
      <c r="B5" s="651" t="str">
        <f>Info!B5</f>
        <v>NQ-2026-001</v>
      </c>
      <c r="C5" s="652"/>
      <c r="D5" s="652"/>
      <c r="E5" s="652"/>
      <c r="F5" s="652"/>
      <c r="G5" s="652"/>
      <c r="H5" s="652"/>
      <c r="I5" s="652"/>
      <c r="J5" s="652"/>
      <c r="K5" s="652"/>
      <c r="L5" s="653"/>
      <c r="M5" s="25"/>
      <c r="N5" s="25"/>
      <c r="O5" s="19"/>
      <c r="P5" s="19"/>
    </row>
    <row r="6" spans="1:16" s="6" customFormat="1" x14ac:dyDescent="0.25">
      <c r="A6" s="4"/>
      <c r="B6" s="703" t="str">
        <f>Info!B6</f>
        <v>TUBAGES DE PUITS DE GAZ ET DE PÉTROLE</v>
      </c>
      <c r="C6" s="704"/>
      <c r="D6" s="704"/>
      <c r="E6" s="704"/>
      <c r="F6" s="704"/>
      <c r="G6" s="704"/>
      <c r="H6" s="704"/>
      <c r="I6" s="704"/>
      <c r="J6" s="704"/>
      <c r="K6" s="704"/>
      <c r="L6" s="705"/>
      <c r="M6" s="19"/>
      <c r="N6" s="19"/>
      <c r="O6" s="15"/>
      <c r="P6" s="15"/>
    </row>
    <row r="7" spans="1:16" s="6" customFormat="1" x14ac:dyDescent="0.25">
      <c r="A7" s="4"/>
      <c r="B7" s="14"/>
      <c r="C7" s="14"/>
      <c r="D7" s="3"/>
      <c r="E7" s="3"/>
      <c r="F7" s="3"/>
      <c r="G7" s="3"/>
      <c r="H7" s="3"/>
      <c r="I7" s="3"/>
      <c r="J7" s="3"/>
      <c r="K7" s="3"/>
      <c r="L7" s="3"/>
      <c r="O7" s="15"/>
      <c r="P7" s="15"/>
    </row>
    <row r="8" spans="1:16" x14ac:dyDescent="0.25">
      <c r="B8" s="533" t="str">
        <f>UPPER(IF(Intro!$G$20="English",O8,P8))</f>
        <v>COMMENTAIRES PUBLICS</v>
      </c>
      <c r="C8" s="534"/>
      <c r="D8" s="534"/>
      <c r="E8" s="534"/>
      <c r="F8" s="534"/>
      <c r="G8" s="534"/>
      <c r="H8" s="534"/>
      <c r="I8" s="534"/>
      <c r="J8" s="534"/>
      <c r="K8" s="534"/>
      <c r="L8" s="535"/>
      <c r="M8" s="10"/>
      <c r="O8" s="10" t="s">
        <v>33</v>
      </c>
      <c r="P8" s="10" t="s">
        <v>84</v>
      </c>
    </row>
    <row r="9" spans="1:16" x14ac:dyDescent="0.25">
      <c r="B9" s="16"/>
      <c r="C9" s="35"/>
      <c r="D9" s="36"/>
      <c r="E9" s="36"/>
      <c r="F9" s="36"/>
      <c r="G9" s="36"/>
      <c r="H9" s="36"/>
      <c r="I9" s="36"/>
      <c r="J9" s="36"/>
      <c r="K9" s="36"/>
      <c r="L9" s="17"/>
      <c r="M9" s="10"/>
    </row>
    <row r="10" spans="1:16" x14ac:dyDescent="0.25">
      <c r="B10" s="530" t="str">
        <f>IF(Intro!$G$20="English",O10,P10)</f>
        <v>Si votre entreprise désire ajouter des commentaires concernant vos réponses, vous les inscrivez ici. Indiquez à quelle question se rapportent vos commentaires.</v>
      </c>
      <c r="C10" s="531"/>
      <c r="D10" s="531"/>
      <c r="E10" s="531"/>
      <c r="F10" s="531"/>
      <c r="G10" s="531"/>
      <c r="H10" s="531"/>
      <c r="I10" s="531"/>
      <c r="J10" s="531"/>
      <c r="K10" s="531"/>
      <c r="L10" s="532"/>
      <c r="M10" s="10"/>
      <c r="O10" s="18" t="s">
        <v>233</v>
      </c>
      <c r="P10" s="10" t="s">
        <v>212</v>
      </c>
    </row>
    <row r="11" spans="1:16" x14ac:dyDescent="0.25">
      <c r="B11" s="61"/>
      <c r="C11" s="35"/>
      <c r="D11" s="36"/>
      <c r="E11" s="36"/>
      <c r="F11" s="36"/>
      <c r="G11" s="36"/>
      <c r="H11" s="36"/>
      <c r="I11" s="36"/>
      <c r="J11" s="36"/>
      <c r="K11" s="36"/>
      <c r="L11" s="17"/>
      <c r="M11" s="10"/>
      <c r="O11" s="47" t="s">
        <v>409</v>
      </c>
      <c r="P11" s="47" t="s">
        <v>410</v>
      </c>
    </row>
    <row r="12" spans="1:16" x14ac:dyDescent="0.25">
      <c r="B12" s="61"/>
      <c r="C12" s="35"/>
      <c r="D12" s="125" t="str">
        <f>IF(Intro!$G$20="English",O11,P11)</f>
        <v>Onglet et question</v>
      </c>
      <c r="E12" s="706" t="str">
        <f>IF(Intro!$G$20="English",O12,P12)</f>
        <v>Commentaires</v>
      </c>
      <c r="F12" s="706"/>
      <c r="G12" s="706"/>
      <c r="H12" s="706"/>
      <c r="I12" s="706"/>
      <c r="J12" s="706"/>
      <c r="K12" s="706"/>
      <c r="L12" s="707"/>
      <c r="M12" s="10"/>
      <c r="O12" s="18" t="s">
        <v>129</v>
      </c>
      <c r="P12" s="10" t="s">
        <v>130</v>
      </c>
    </row>
    <row r="13" spans="1:16" x14ac:dyDescent="0.25">
      <c r="B13" s="698" t="str">
        <f>IF(Intro!$G$20="English",O13,P13)</f>
        <v>Commentaire 1</v>
      </c>
      <c r="C13" s="699"/>
      <c r="D13" s="700"/>
      <c r="E13" s="701"/>
      <c r="F13" s="701"/>
      <c r="G13" s="701"/>
      <c r="H13" s="701"/>
      <c r="I13" s="701"/>
      <c r="J13" s="701"/>
      <c r="K13" s="701"/>
      <c r="L13" s="702"/>
      <c r="M13" s="10"/>
      <c r="O13" s="18" t="s">
        <v>131</v>
      </c>
      <c r="P13" s="10" t="s">
        <v>132</v>
      </c>
    </row>
    <row r="14" spans="1:16" x14ac:dyDescent="0.25">
      <c r="B14" s="698"/>
      <c r="C14" s="699"/>
      <c r="D14" s="700"/>
      <c r="E14" s="701"/>
      <c r="F14" s="701"/>
      <c r="G14" s="701"/>
      <c r="H14" s="701"/>
      <c r="I14" s="701"/>
      <c r="J14" s="701"/>
      <c r="K14" s="701"/>
      <c r="L14" s="702"/>
      <c r="M14" s="10"/>
      <c r="O14" s="18"/>
    </row>
    <row r="15" spans="1:16" x14ac:dyDescent="0.25">
      <c r="B15" s="698"/>
      <c r="C15" s="699"/>
      <c r="D15" s="700"/>
      <c r="E15" s="701"/>
      <c r="F15" s="701"/>
      <c r="G15" s="701"/>
      <c r="H15" s="701"/>
      <c r="I15" s="701"/>
      <c r="J15" s="701"/>
      <c r="K15" s="701"/>
      <c r="L15" s="702"/>
      <c r="M15" s="10"/>
      <c r="O15" s="18"/>
    </row>
    <row r="16" spans="1:16" x14ac:dyDescent="0.25">
      <c r="B16" s="698"/>
      <c r="C16" s="699"/>
      <c r="D16" s="700"/>
      <c r="E16" s="701"/>
      <c r="F16" s="701"/>
      <c r="G16" s="701"/>
      <c r="H16" s="701"/>
      <c r="I16" s="701"/>
      <c r="J16" s="701"/>
      <c r="K16" s="701"/>
      <c r="L16" s="702"/>
      <c r="M16" s="10"/>
      <c r="O16" s="18"/>
    </row>
    <row r="17" spans="2:16" x14ac:dyDescent="0.25">
      <c r="B17" s="698"/>
      <c r="C17" s="699"/>
      <c r="D17" s="700"/>
      <c r="E17" s="701"/>
      <c r="F17" s="701"/>
      <c r="G17" s="701"/>
      <c r="H17" s="701"/>
      <c r="I17" s="701"/>
      <c r="J17" s="701"/>
      <c r="K17" s="701"/>
      <c r="L17" s="702"/>
      <c r="M17" s="10"/>
      <c r="O17" s="18"/>
    </row>
    <row r="18" spans="2:16" x14ac:dyDescent="0.25">
      <c r="B18" s="698"/>
      <c r="C18" s="699"/>
      <c r="D18" s="700"/>
      <c r="E18" s="701"/>
      <c r="F18" s="701"/>
      <c r="G18" s="701"/>
      <c r="H18" s="701"/>
      <c r="I18" s="701"/>
      <c r="J18" s="701"/>
      <c r="K18" s="701"/>
      <c r="L18" s="702"/>
      <c r="M18" s="10"/>
      <c r="O18" s="18"/>
    </row>
    <row r="19" spans="2:16" x14ac:dyDescent="0.25">
      <c r="B19" s="698"/>
      <c r="C19" s="699"/>
      <c r="D19" s="700"/>
      <c r="E19" s="701"/>
      <c r="F19" s="701"/>
      <c r="G19" s="701"/>
      <c r="H19" s="701"/>
      <c r="I19" s="701"/>
      <c r="J19" s="701"/>
      <c r="K19" s="701"/>
      <c r="L19" s="702"/>
      <c r="M19" s="10"/>
      <c r="O19" s="18"/>
    </row>
    <row r="20" spans="2:16" x14ac:dyDescent="0.25">
      <c r="B20" s="698"/>
      <c r="C20" s="699"/>
      <c r="D20" s="700"/>
      <c r="E20" s="701"/>
      <c r="F20" s="701"/>
      <c r="G20" s="701"/>
      <c r="H20" s="701"/>
      <c r="I20" s="701"/>
      <c r="J20" s="701"/>
      <c r="K20" s="701"/>
      <c r="L20" s="702"/>
      <c r="M20" s="10"/>
      <c r="O20" s="18"/>
    </row>
    <row r="21" spans="2:16" x14ac:dyDescent="0.25">
      <c r="B21" s="698"/>
      <c r="C21" s="699"/>
      <c r="D21" s="700"/>
      <c r="E21" s="701"/>
      <c r="F21" s="701"/>
      <c r="G21" s="701"/>
      <c r="H21" s="701"/>
      <c r="I21" s="701"/>
      <c r="J21" s="701"/>
      <c r="K21" s="701"/>
      <c r="L21" s="702"/>
      <c r="M21" s="10"/>
      <c r="O21" s="18"/>
    </row>
    <row r="22" spans="2:16" x14ac:dyDescent="0.25">
      <c r="B22" s="698"/>
      <c r="C22" s="699"/>
      <c r="D22" s="700"/>
      <c r="E22" s="701"/>
      <c r="F22" s="701"/>
      <c r="G22" s="701"/>
      <c r="H22" s="701"/>
      <c r="I22" s="701"/>
      <c r="J22" s="701"/>
      <c r="K22" s="701"/>
      <c r="L22" s="702"/>
      <c r="M22" s="10"/>
      <c r="O22" s="18"/>
    </row>
    <row r="23" spans="2:16" x14ac:dyDescent="0.25">
      <c r="B23" s="698" t="str">
        <f>IF(Intro!$G$20="English",O23,P23)</f>
        <v>Commentaire 2</v>
      </c>
      <c r="C23" s="699"/>
      <c r="D23" s="700"/>
      <c r="E23" s="701"/>
      <c r="F23" s="701"/>
      <c r="G23" s="701"/>
      <c r="H23" s="701"/>
      <c r="I23" s="701"/>
      <c r="J23" s="701"/>
      <c r="K23" s="701"/>
      <c r="L23" s="702"/>
      <c r="M23" s="10"/>
      <c r="O23" s="18" t="s">
        <v>133</v>
      </c>
      <c r="P23" s="10" t="s">
        <v>134</v>
      </c>
    </row>
    <row r="24" spans="2:16" x14ac:dyDescent="0.25">
      <c r="B24" s="698"/>
      <c r="C24" s="699"/>
      <c r="D24" s="700"/>
      <c r="E24" s="701"/>
      <c r="F24" s="701"/>
      <c r="G24" s="701"/>
      <c r="H24" s="701"/>
      <c r="I24" s="701"/>
      <c r="J24" s="701"/>
      <c r="K24" s="701"/>
      <c r="L24" s="702"/>
      <c r="M24" s="10"/>
    </row>
    <row r="25" spans="2:16" x14ac:dyDescent="0.25">
      <c r="B25" s="698"/>
      <c r="C25" s="699"/>
      <c r="D25" s="700"/>
      <c r="E25" s="701"/>
      <c r="F25" s="701"/>
      <c r="G25" s="701"/>
      <c r="H25" s="701"/>
      <c r="I25" s="701"/>
      <c r="J25" s="701"/>
      <c r="K25" s="701"/>
      <c r="L25" s="702"/>
      <c r="M25" s="10"/>
    </row>
    <row r="26" spans="2:16" x14ac:dyDescent="0.25">
      <c r="B26" s="698"/>
      <c r="C26" s="699"/>
      <c r="D26" s="700"/>
      <c r="E26" s="701"/>
      <c r="F26" s="701"/>
      <c r="G26" s="701"/>
      <c r="H26" s="701"/>
      <c r="I26" s="701"/>
      <c r="J26" s="701"/>
      <c r="K26" s="701"/>
      <c r="L26" s="702"/>
      <c r="M26" s="10"/>
      <c r="O26" s="18"/>
    </row>
    <row r="27" spans="2:16" x14ac:dyDescent="0.25">
      <c r="B27" s="698"/>
      <c r="C27" s="699"/>
      <c r="D27" s="700"/>
      <c r="E27" s="701"/>
      <c r="F27" s="701"/>
      <c r="G27" s="701"/>
      <c r="H27" s="701"/>
      <c r="I27" s="701"/>
      <c r="J27" s="701"/>
      <c r="K27" s="701"/>
      <c r="L27" s="702"/>
      <c r="M27" s="10"/>
      <c r="O27" s="18"/>
    </row>
    <row r="28" spans="2:16" x14ac:dyDescent="0.25">
      <c r="B28" s="698"/>
      <c r="C28" s="699"/>
      <c r="D28" s="700"/>
      <c r="E28" s="701"/>
      <c r="F28" s="701"/>
      <c r="G28" s="701"/>
      <c r="H28" s="701"/>
      <c r="I28" s="701"/>
      <c r="J28" s="701"/>
      <c r="K28" s="701"/>
      <c r="L28" s="702"/>
      <c r="M28" s="10"/>
    </row>
    <row r="29" spans="2:16" x14ac:dyDescent="0.25">
      <c r="B29" s="698"/>
      <c r="C29" s="699"/>
      <c r="D29" s="700"/>
      <c r="E29" s="701"/>
      <c r="F29" s="701"/>
      <c r="G29" s="701"/>
      <c r="H29" s="701"/>
      <c r="I29" s="701"/>
      <c r="J29" s="701"/>
      <c r="K29" s="701"/>
      <c r="L29" s="702"/>
      <c r="M29" s="10"/>
      <c r="O29" s="18"/>
    </row>
    <row r="30" spans="2:16" x14ac:dyDescent="0.25">
      <c r="B30" s="698"/>
      <c r="C30" s="699"/>
      <c r="D30" s="700"/>
      <c r="E30" s="701"/>
      <c r="F30" s="701"/>
      <c r="G30" s="701"/>
      <c r="H30" s="701"/>
      <c r="I30" s="701"/>
      <c r="J30" s="701"/>
      <c r="K30" s="701"/>
      <c r="L30" s="702"/>
      <c r="M30" s="10"/>
      <c r="O30" s="18"/>
    </row>
    <row r="31" spans="2:16" x14ac:dyDescent="0.25">
      <c r="B31" s="698"/>
      <c r="C31" s="699"/>
      <c r="D31" s="700"/>
      <c r="E31" s="701"/>
      <c r="F31" s="701"/>
      <c r="G31" s="701"/>
      <c r="H31" s="701"/>
      <c r="I31" s="701"/>
      <c r="J31" s="701"/>
      <c r="K31" s="701"/>
      <c r="L31" s="702"/>
      <c r="M31" s="10"/>
      <c r="O31" s="18"/>
    </row>
    <row r="32" spans="2:16" x14ac:dyDescent="0.25">
      <c r="B32" s="698"/>
      <c r="C32" s="699"/>
      <c r="D32" s="700"/>
      <c r="E32" s="701"/>
      <c r="F32" s="701"/>
      <c r="G32" s="701"/>
      <c r="H32" s="701"/>
      <c r="I32" s="701"/>
      <c r="J32" s="701"/>
      <c r="K32" s="701"/>
      <c r="L32" s="702"/>
      <c r="M32" s="10"/>
      <c r="O32" s="18"/>
    </row>
    <row r="33" spans="2:16" x14ac:dyDescent="0.25">
      <c r="B33" s="698" t="str">
        <f>IF(Intro!$G$20="English",O33,P33)</f>
        <v>Commentaire 3</v>
      </c>
      <c r="C33" s="699"/>
      <c r="D33" s="700"/>
      <c r="E33" s="701"/>
      <c r="F33" s="701"/>
      <c r="G33" s="701"/>
      <c r="H33" s="701"/>
      <c r="I33" s="701"/>
      <c r="J33" s="701"/>
      <c r="K33" s="701"/>
      <c r="L33" s="702"/>
      <c r="M33" s="10"/>
      <c r="O33" s="18" t="s">
        <v>135</v>
      </c>
      <c r="P33" s="10" t="s">
        <v>136</v>
      </c>
    </row>
    <row r="34" spans="2:16" x14ac:dyDescent="0.25">
      <c r="B34" s="698"/>
      <c r="C34" s="699"/>
      <c r="D34" s="700"/>
      <c r="E34" s="701"/>
      <c r="F34" s="701"/>
      <c r="G34" s="701"/>
      <c r="H34" s="701"/>
      <c r="I34" s="701"/>
      <c r="J34" s="701"/>
      <c r="K34" s="701"/>
      <c r="L34" s="702"/>
      <c r="M34" s="10"/>
      <c r="O34" s="18"/>
    </row>
    <row r="35" spans="2:16" x14ac:dyDescent="0.25">
      <c r="B35" s="698"/>
      <c r="C35" s="699"/>
      <c r="D35" s="700"/>
      <c r="E35" s="701"/>
      <c r="F35" s="701"/>
      <c r="G35" s="701"/>
      <c r="H35" s="701"/>
      <c r="I35" s="701"/>
      <c r="J35" s="701"/>
      <c r="K35" s="701"/>
      <c r="L35" s="702"/>
      <c r="M35" s="10"/>
      <c r="O35" s="18"/>
    </row>
    <row r="36" spans="2:16" x14ac:dyDescent="0.25">
      <c r="B36" s="698"/>
      <c r="C36" s="699"/>
      <c r="D36" s="700"/>
      <c r="E36" s="701"/>
      <c r="F36" s="701"/>
      <c r="G36" s="701"/>
      <c r="H36" s="701"/>
      <c r="I36" s="701"/>
      <c r="J36" s="701"/>
      <c r="K36" s="701"/>
      <c r="L36" s="702"/>
      <c r="M36" s="10"/>
      <c r="O36" s="18"/>
    </row>
    <row r="37" spans="2:16" x14ac:dyDescent="0.25">
      <c r="B37" s="698"/>
      <c r="C37" s="699"/>
      <c r="D37" s="700"/>
      <c r="E37" s="701"/>
      <c r="F37" s="701"/>
      <c r="G37" s="701"/>
      <c r="H37" s="701"/>
      <c r="I37" s="701"/>
      <c r="J37" s="701"/>
      <c r="K37" s="701"/>
      <c r="L37" s="702"/>
      <c r="M37" s="10"/>
      <c r="O37" s="18"/>
    </row>
    <row r="38" spans="2:16" x14ac:dyDescent="0.25">
      <c r="B38" s="698"/>
      <c r="C38" s="699"/>
      <c r="D38" s="700"/>
      <c r="E38" s="701"/>
      <c r="F38" s="701"/>
      <c r="G38" s="701"/>
      <c r="H38" s="701"/>
      <c r="I38" s="701"/>
      <c r="J38" s="701"/>
      <c r="K38" s="701"/>
      <c r="L38" s="702"/>
      <c r="M38" s="10"/>
      <c r="O38" s="18"/>
    </row>
    <row r="39" spans="2:16" x14ac:dyDescent="0.25">
      <c r="B39" s="698"/>
      <c r="C39" s="699"/>
      <c r="D39" s="700"/>
      <c r="E39" s="701"/>
      <c r="F39" s="701"/>
      <c r="G39" s="701"/>
      <c r="H39" s="701"/>
      <c r="I39" s="701"/>
      <c r="J39" s="701"/>
      <c r="K39" s="701"/>
      <c r="L39" s="702"/>
      <c r="M39" s="10"/>
      <c r="O39" s="18"/>
    </row>
    <row r="40" spans="2:16" x14ac:dyDescent="0.25">
      <c r="B40" s="698"/>
      <c r="C40" s="699"/>
      <c r="D40" s="700"/>
      <c r="E40" s="701"/>
      <c r="F40" s="701"/>
      <c r="G40" s="701"/>
      <c r="H40" s="701"/>
      <c r="I40" s="701"/>
      <c r="J40" s="701"/>
      <c r="K40" s="701"/>
      <c r="L40" s="702"/>
      <c r="M40" s="10"/>
      <c r="O40" s="18"/>
    </row>
    <row r="41" spans="2:16" x14ac:dyDescent="0.25">
      <c r="B41" s="698"/>
      <c r="C41" s="699"/>
      <c r="D41" s="700"/>
      <c r="E41" s="701"/>
      <c r="F41" s="701"/>
      <c r="G41" s="701"/>
      <c r="H41" s="701"/>
      <c r="I41" s="701"/>
      <c r="J41" s="701"/>
      <c r="K41" s="701"/>
      <c r="L41" s="702"/>
      <c r="M41" s="10"/>
      <c r="O41" s="18"/>
    </row>
    <row r="42" spans="2:16" x14ac:dyDescent="0.25">
      <c r="B42" s="698"/>
      <c r="C42" s="699"/>
      <c r="D42" s="700"/>
      <c r="E42" s="701"/>
      <c r="F42" s="701"/>
      <c r="G42" s="701"/>
      <c r="H42" s="701"/>
      <c r="I42" s="701"/>
      <c r="J42" s="701"/>
      <c r="K42" s="701"/>
      <c r="L42" s="702"/>
      <c r="M42" s="10"/>
      <c r="O42" s="18"/>
    </row>
    <row r="43" spans="2:16" x14ac:dyDescent="0.25">
      <c r="B43" s="698" t="str">
        <f>IF(Intro!$G$20="English",O43,P43)</f>
        <v>Commentaire 4</v>
      </c>
      <c r="C43" s="699"/>
      <c r="D43" s="700"/>
      <c r="E43" s="701"/>
      <c r="F43" s="701"/>
      <c r="G43" s="701"/>
      <c r="H43" s="701"/>
      <c r="I43" s="701"/>
      <c r="J43" s="701"/>
      <c r="K43" s="701"/>
      <c r="L43" s="702"/>
      <c r="M43" s="10"/>
      <c r="O43" s="18" t="s">
        <v>137</v>
      </c>
      <c r="P43" s="10" t="s">
        <v>138</v>
      </c>
    </row>
    <row r="44" spans="2:16" x14ac:dyDescent="0.25">
      <c r="B44" s="698"/>
      <c r="C44" s="699"/>
      <c r="D44" s="700"/>
      <c r="E44" s="701"/>
      <c r="F44" s="701"/>
      <c r="G44" s="701"/>
      <c r="H44" s="701"/>
      <c r="I44" s="701"/>
      <c r="J44" s="701"/>
      <c r="K44" s="701"/>
      <c r="L44" s="702"/>
      <c r="M44" s="10"/>
      <c r="O44" s="18"/>
    </row>
    <row r="45" spans="2:16" x14ac:dyDescent="0.25">
      <c r="B45" s="698"/>
      <c r="C45" s="699"/>
      <c r="D45" s="700"/>
      <c r="E45" s="701"/>
      <c r="F45" s="701"/>
      <c r="G45" s="701"/>
      <c r="H45" s="701"/>
      <c r="I45" s="701"/>
      <c r="J45" s="701"/>
      <c r="K45" s="701"/>
      <c r="L45" s="702"/>
      <c r="M45" s="10"/>
      <c r="O45" s="18"/>
    </row>
    <row r="46" spans="2:16" x14ac:dyDescent="0.25">
      <c r="B46" s="698"/>
      <c r="C46" s="699"/>
      <c r="D46" s="700"/>
      <c r="E46" s="701"/>
      <c r="F46" s="701"/>
      <c r="G46" s="701"/>
      <c r="H46" s="701"/>
      <c r="I46" s="701"/>
      <c r="J46" s="701"/>
      <c r="K46" s="701"/>
      <c r="L46" s="702"/>
      <c r="M46" s="10"/>
      <c r="O46" s="18"/>
    </row>
    <row r="47" spans="2:16" x14ac:dyDescent="0.25">
      <c r="B47" s="698"/>
      <c r="C47" s="699"/>
      <c r="D47" s="700"/>
      <c r="E47" s="701"/>
      <c r="F47" s="701"/>
      <c r="G47" s="701"/>
      <c r="H47" s="701"/>
      <c r="I47" s="701"/>
      <c r="J47" s="701"/>
      <c r="K47" s="701"/>
      <c r="L47" s="702"/>
      <c r="M47" s="10"/>
      <c r="O47" s="18"/>
    </row>
    <row r="48" spans="2:16" x14ac:dyDescent="0.25">
      <c r="B48" s="698"/>
      <c r="C48" s="699"/>
      <c r="D48" s="700"/>
      <c r="E48" s="701"/>
      <c r="F48" s="701"/>
      <c r="G48" s="701"/>
      <c r="H48" s="701"/>
      <c r="I48" s="701"/>
      <c r="J48" s="701"/>
      <c r="K48" s="701"/>
      <c r="L48" s="702"/>
      <c r="M48" s="10"/>
      <c r="O48" s="18"/>
    </row>
    <row r="49" spans="1:16" x14ac:dyDescent="0.25">
      <c r="B49" s="698"/>
      <c r="C49" s="699"/>
      <c r="D49" s="700"/>
      <c r="E49" s="701"/>
      <c r="F49" s="701"/>
      <c r="G49" s="701"/>
      <c r="H49" s="701"/>
      <c r="I49" s="701"/>
      <c r="J49" s="701"/>
      <c r="K49" s="701"/>
      <c r="L49" s="702"/>
      <c r="M49" s="10"/>
      <c r="O49" s="18"/>
    </row>
    <row r="50" spans="1:16" x14ac:dyDescent="0.25">
      <c r="B50" s="698"/>
      <c r="C50" s="699"/>
      <c r="D50" s="700"/>
      <c r="E50" s="701"/>
      <c r="F50" s="701"/>
      <c r="G50" s="701"/>
      <c r="H50" s="701"/>
      <c r="I50" s="701"/>
      <c r="J50" s="701"/>
      <c r="K50" s="701"/>
      <c r="L50" s="702"/>
      <c r="M50" s="10"/>
      <c r="O50" s="18"/>
    </row>
    <row r="51" spans="1:16" x14ac:dyDescent="0.25">
      <c r="B51" s="698"/>
      <c r="C51" s="699"/>
      <c r="D51" s="700"/>
      <c r="E51" s="701"/>
      <c r="F51" s="701"/>
      <c r="G51" s="701"/>
      <c r="H51" s="701"/>
      <c r="I51" s="701"/>
      <c r="J51" s="701"/>
      <c r="K51" s="701"/>
      <c r="L51" s="702"/>
      <c r="M51" s="10"/>
      <c r="O51" s="18"/>
    </row>
    <row r="52" spans="1:16" x14ac:dyDescent="0.25">
      <c r="B52" s="698"/>
      <c r="C52" s="699"/>
      <c r="D52" s="700"/>
      <c r="E52" s="701"/>
      <c r="F52" s="701"/>
      <c r="G52" s="701"/>
      <c r="H52" s="701"/>
      <c r="I52" s="701"/>
      <c r="J52" s="701"/>
      <c r="K52" s="701"/>
      <c r="L52" s="702"/>
      <c r="M52" s="10"/>
      <c r="O52" s="18"/>
    </row>
    <row r="53" spans="1:16" x14ac:dyDescent="0.25">
      <c r="B53" s="698" t="str">
        <f>IF(Intro!$G$20="English",O53,P53)</f>
        <v>Commentaire 5</v>
      </c>
      <c r="C53" s="699"/>
      <c r="D53" s="700"/>
      <c r="E53" s="701"/>
      <c r="F53" s="701"/>
      <c r="G53" s="701"/>
      <c r="H53" s="701"/>
      <c r="I53" s="701"/>
      <c r="J53" s="701"/>
      <c r="K53" s="701"/>
      <c r="L53" s="702"/>
      <c r="M53" s="10"/>
      <c r="O53" s="18" t="s">
        <v>139</v>
      </c>
      <c r="P53" s="10" t="s">
        <v>140</v>
      </c>
    </row>
    <row r="54" spans="1:16" x14ac:dyDescent="0.25">
      <c r="B54" s="698"/>
      <c r="C54" s="699"/>
      <c r="D54" s="700"/>
      <c r="E54" s="701"/>
      <c r="F54" s="701"/>
      <c r="G54" s="701"/>
      <c r="H54" s="701"/>
      <c r="I54" s="701"/>
      <c r="J54" s="701"/>
      <c r="K54" s="701"/>
      <c r="L54" s="702"/>
      <c r="M54" s="10"/>
      <c r="O54" s="18"/>
    </row>
    <row r="55" spans="1:16" x14ac:dyDescent="0.25">
      <c r="B55" s="698"/>
      <c r="C55" s="699"/>
      <c r="D55" s="700"/>
      <c r="E55" s="701"/>
      <c r="F55" s="701"/>
      <c r="G55" s="701"/>
      <c r="H55" s="701"/>
      <c r="I55" s="701"/>
      <c r="J55" s="701"/>
      <c r="K55" s="701"/>
      <c r="L55" s="702"/>
      <c r="M55" s="10"/>
      <c r="O55" s="18"/>
    </row>
    <row r="56" spans="1:16" x14ac:dyDescent="0.25">
      <c r="B56" s="698"/>
      <c r="C56" s="699"/>
      <c r="D56" s="700"/>
      <c r="E56" s="701"/>
      <c r="F56" s="701"/>
      <c r="G56" s="701"/>
      <c r="H56" s="701"/>
      <c r="I56" s="701"/>
      <c r="J56" s="701"/>
      <c r="K56" s="701"/>
      <c r="L56" s="702"/>
      <c r="M56" s="10"/>
      <c r="O56" s="18"/>
    </row>
    <row r="57" spans="1:16" x14ac:dyDescent="0.25">
      <c r="B57" s="698"/>
      <c r="C57" s="699"/>
      <c r="D57" s="700"/>
      <c r="E57" s="701"/>
      <c r="F57" s="701"/>
      <c r="G57" s="701"/>
      <c r="H57" s="701"/>
      <c r="I57" s="701"/>
      <c r="J57" s="701"/>
      <c r="K57" s="701"/>
      <c r="L57" s="702"/>
      <c r="M57" s="10"/>
      <c r="O57" s="18"/>
    </row>
    <row r="58" spans="1:16" x14ac:dyDescent="0.25">
      <c r="B58" s="698"/>
      <c r="C58" s="699"/>
      <c r="D58" s="700"/>
      <c r="E58" s="701"/>
      <c r="F58" s="701"/>
      <c r="G58" s="701"/>
      <c r="H58" s="701"/>
      <c r="I58" s="701"/>
      <c r="J58" s="701"/>
      <c r="K58" s="701"/>
      <c r="L58" s="702"/>
      <c r="M58" s="10"/>
      <c r="O58" s="18"/>
    </row>
    <row r="59" spans="1:16" x14ac:dyDescent="0.25">
      <c r="B59" s="698"/>
      <c r="C59" s="699"/>
      <c r="D59" s="700"/>
      <c r="E59" s="701"/>
      <c r="F59" s="701"/>
      <c r="G59" s="701"/>
      <c r="H59" s="701"/>
      <c r="I59" s="701"/>
      <c r="J59" s="701"/>
      <c r="K59" s="701"/>
      <c r="L59" s="702"/>
      <c r="M59" s="10"/>
      <c r="O59" s="18"/>
    </row>
    <row r="60" spans="1:16" x14ac:dyDescent="0.25">
      <c r="B60" s="698"/>
      <c r="C60" s="699"/>
      <c r="D60" s="700"/>
      <c r="E60" s="701"/>
      <c r="F60" s="701"/>
      <c r="G60" s="701"/>
      <c r="H60" s="701"/>
      <c r="I60" s="701"/>
      <c r="J60" s="701"/>
      <c r="K60" s="701"/>
      <c r="L60" s="702"/>
      <c r="M60" s="10"/>
      <c r="O60" s="18"/>
    </row>
    <row r="61" spans="1:16" x14ac:dyDescent="0.25">
      <c r="B61" s="698"/>
      <c r="C61" s="699"/>
      <c r="D61" s="700"/>
      <c r="E61" s="701"/>
      <c r="F61" s="701"/>
      <c r="G61" s="701"/>
      <c r="H61" s="701"/>
      <c r="I61" s="701"/>
      <c r="J61" s="701"/>
      <c r="K61" s="701"/>
      <c r="L61" s="702"/>
      <c r="M61" s="10"/>
      <c r="O61" s="18"/>
    </row>
    <row r="62" spans="1:16" x14ac:dyDescent="0.25">
      <c r="B62" s="708"/>
      <c r="C62" s="709"/>
      <c r="D62" s="710"/>
      <c r="E62" s="711"/>
      <c r="F62" s="711"/>
      <c r="G62" s="711"/>
      <c r="H62" s="711"/>
      <c r="I62" s="711"/>
      <c r="J62" s="711"/>
      <c r="K62" s="711"/>
      <c r="L62" s="712"/>
      <c r="M62" s="10"/>
      <c r="O62" s="18"/>
    </row>
    <row r="63" spans="1:16" s="44" customFormat="1" x14ac:dyDescent="0.25">
      <c r="A63" s="76"/>
      <c r="B63" s="4"/>
      <c r="C63" s="77"/>
      <c r="D63" s="77"/>
      <c r="E63" s="77"/>
      <c r="F63" s="77"/>
      <c r="G63" s="77"/>
      <c r="H63" s="77"/>
      <c r="I63" s="77"/>
      <c r="J63" s="77"/>
      <c r="K63" s="77"/>
      <c r="L63" s="77"/>
      <c r="N63" s="78"/>
    </row>
  </sheetData>
  <sheetProtection algorithmName="SHA-512" hashValue="sUsFA2RNSyuIH7/YIMKv2Yl7NUa2MTnhtfZsE3XWm2aV5A5qFJbTuGHlYHDbyLuNIlJU+j/YCd/ln91DKhBsaQ==" saltValue="RbP6NW9I63DWrVbvRMuNqw==" spinCount="100000" sheet="1" objects="1" scenarios="1" selectLockedCells="1"/>
  <mergeCells count="21">
    <mergeCell ref="B53:C62"/>
    <mergeCell ref="D53:D62"/>
    <mergeCell ref="E53:L62"/>
    <mergeCell ref="D33:D42"/>
    <mergeCell ref="E33:L42"/>
    <mergeCell ref="B43:C52"/>
    <mergeCell ref="D43:D52"/>
    <mergeCell ref="E43:L52"/>
    <mergeCell ref="B33:C42"/>
    <mergeCell ref="B4:L4"/>
    <mergeCell ref="B5:L5"/>
    <mergeCell ref="B6:L6"/>
    <mergeCell ref="B10:L10"/>
    <mergeCell ref="E12:L12"/>
    <mergeCell ref="B8:L8"/>
    <mergeCell ref="B13:C22"/>
    <mergeCell ref="D13:D22"/>
    <mergeCell ref="E13:L22"/>
    <mergeCell ref="B23:C32"/>
    <mergeCell ref="D23:D32"/>
    <mergeCell ref="E23:L3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4F101CEA-EF13-4032-BE75-F0DF0E44776D}">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S175"/>
  <sheetViews>
    <sheetView showGridLines="0" topLeftCell="A115" zoomScaleNormal="100" workbookViewId="0">
      <selection activeCell="B146" sqref="B146:L153"/>
    </sheetView>
  </sheetViews>
  <sheetFormatPr defaultColWidth="9.140625" defaultRowHeight="14.25" x14ac:dyDescent="0.25"/>
  <cols>
    <col min="1" max="1" width="1.85546875" style="8" customWidth="1"/>
    <col min="2" max="12" width="14.5703125" style="1" customWidth="1"/>
    <col min="13" max="13" width="6.140625" style="9" customWidth="1"/>
    <col min="14" max="14" width="9.140625" style="10" customWidth="1"/>
    <col min="15" max="15" width="12.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IF(Intro!$G$20="English",O3,P3)</f>
        <v>PROTÉGÉ</v>
      </c>
      <c r="C2" s="12"/>
      <c r="D2" s="12"/>
      <c r="O2" s="161" t="s">
        <v>93</v>
      </c>
      <c r="P2" s="161" t="s">
        <v>109</v>
      </c>
    </row>
    <row r="3" spans="1:16" x14ac:dyDescent="0.25">
      <c r="B3" s="13"/>
      <c r="C3" s="13"/>
      <c r="D3" s="13"/>
      <c r="O3" s="105" t="s">
        <v>330</v>
      </c>
      <c r="P3" s="105" t="s">
        <v>331</v>
      </c>
    </row>
    <row r="4" spans="1:16" s="2" customFormat="1" x14ac:dyDescent="0.25">
      <c r="A4" s="4"/>
      <c r="B4" s="615" t="str">
        <f>Info!B4</f>
        <v>QUESTIONNAIRE À L'INTENTION DES IMPORTATEURS</v>
      </c>
      <c r="C4" s="616"/>
      <c r="D4" s="616"/>
      <c r="E4" s="616"/>
      <c r="F4" s="616"/>
      <c r="G4" s="616"/>
      <c r="H4" s="616"/>
      <c r="I4" s="616"/>
      <c r="J4" s="616"/>
      <c r="K4" s="616"/>
      <c r="L4" s="617"/>
      <c r="M4" s="25"/>
      <c r="N4" s="25"/>
      <c r="O4" s="19"/>
      <c r="P4" s="19"/>
    </row>
    <row r="5" spans="1:16" s="2" customFormat="1" x14ac:dyDescent="0.25">
      <c r="A5" s="4"/>
      <c r="B5" s="651" t="str">
        <f>Info!B5</f>
        <v>NQ-2026-001</v>
      </c>
      <c r="C5" s="652"/>
      <c r="D5" s="652"/>
      <c r="E5" s="652"/>
      <c r="F5" s="652"/>
      <c r="G5" s="652"/>
      <c r="H5" s="652"/>
      <c r="I5" s="652"/>
      <c r="J5" s="652"/>
      <c r="K5" s="652"/>
      <c r="L5" s="653"/>
      <c r="M5" s="25"/>
      <c r="N5" s="25"/>
      <c r="O5" s="19"/>
      <c r="P5" s="19"/>
    </row>
    <row r="6" spans="1:16" s="6" customFormat="1" x14ac:dyDescent="0.25">
      <c r="A6" s="4"/>
      <c r="B6" s="651" t="str">
        <f>Info!B6</f>
        <v>TUBAGES DE PUITS DE GAZ ET DE PÉTROLE</v>
      </c>
      <c r="C6" s="652"/>
      <c r="D6" s="652"/>
      <c r="E6" s="652"/>
      <c r="F6" s="652"/>
      <c r="G6" s="652"/>
      <c r="H6" s="652"/>
      <c r="I6" s="652"/>
      <c r="J6" s="652"/>
      <c r="K6" s="652"/>
      <c r="L6" s="653"/>
      <c r="M6" s="19"/>
      <c r="N6" s="19"/>
      <c r="O6" s="15"/>
      <c r="P6" s="15"/>
    </row>
    <row r="7" spans="1:16" s="6" customFormat="1" x14ac:dyDescent="0.25">
      <c r="A7" s="4"/>
      <c r="B7" s="154"/>
      <c r="C7" s="155"/>
      <c r="D7" s="155"/>
      <c r="E7" s="155"/>
      <c r="F7" s="155"/>
      <c r="G7" s="155"/>
      <c r="H7" s="155"/>
      <c r="I7" s="155"/>
      <c r="J7" s="155"/>
      <c r="K7" s="155"/>
      <c r="L7" s="156"/>
      <c r="M7" s="19"/>
      <c r="N7" s="19"/>
      <c r="O7" s="20"/>
    </row>
    <row r="8" spans="1:16" s="6" customFormat="1" x14ac:dyDescent="0.25">
      <c r="A8" s="4"/>
      <c r="B8" s="657" t="str">
        <f>Public!B8</f>
        <v>Les marchandises dans les questions suivantes font référence aux marchandises comme définies dans la description du produit de l'onglet Intro.</v>
      </c>
      <c r="C8" s="658"/>
      <c r="D8" s="658"/>
      <c r="E8" s="658"/>
      <c r="F8" s="658"/>
      <c r="G8" s="658"/>
      <c r="H8" s="658"/>
      <c r="I8" s="658"/>
      <c r="J8" s="658"/>
      <c r="K8" s="658"/>
      <c r="L8" s="659"/>
      <c r="M8" s="19"/>
      <c r="N8" s="19"/>
      <c r="O8" s="15"/>
      <c r="P8" s="15"/>
    </row>
    <row r="9" spans="1:16" s="6" customFormat="1" ht="14.1" customHeight="1" x14ac:dyDescent="0.25">
      <c r="A9" s="4"/>
      <c r="B9" s="657" t="str">
        <f>Public!B9</f>
        <v>Des informations sur le produit et un glossaire de termes sont disponibles dans l'onglet Info.</v>
      </c>
      <c r="C9" s="658"/>
      <c r="D9" s="658"/>
      <c r="E9" s="658"/>
      <c r="F9" s="658"/>
      <c r="G9" s="658"/>
      <c r="H9" s="658"/>
      <c r="I9" s="658"/>
      <c r="J9" s="658"/>
      <c r="K9" s="658"/>
      <c r="L9" s="659"/>
      <c r="M9" s="19"/>
      <c r="N9" s="19"/>
      <c r="O9" s="15"/>
    </row>
    <row r="10" spans="1:16" s="6" customFormat="1" ht="14.1" customHeight="1" x14ac:dyDescent="0.25">
      <c r="A10" s="4"/>
      <c r="B10" s="657" t="str">
        <f>IF(Intro!$G$20="English",O10,P10)</f>
        <v xml:space="preserve">Utilisez l'onglet AddPro si vous avez besoin de plus d'espace.
</v>
      </c>
      <c r="C10" s="658"/>
      <c r="D10" s="658"/>
      <c r="E10" s="658"/>
      <c r="F10" s="658"/>
      <c r="G10" s="658"/>
      <c r="H10" s="658"/>
      <c r="I10" s="658"/>
      <c r="J10" s="658"/>
      <c r="K10" s="658"/>
      <c r="L10" s="659"/>
      <c r="M10" s="19"/>
      <c r="N10" s="19"/>
      <c r="O10" s="15" t="s">
        <v>141</v>
      </c>
      <c r="P10" s="15" t="str">
        <f>"Utilisez l'onglet AddPro si vous avez besoin de plus d'espace."&amp;CHAR(10)</f>
        <v xml:space="preserve">Utilisez l'onglet AddPro si vous avez besoin de plus d'espace.
</v>
      </c>
    </row>
    <row r="11" spans="1:16" s="6" customFormat="1" x14ac:dyDescent="0.25">
      <c r="A11" s="4"/>
      <c r="B11" s="657"/>
      <c r="C11" s="658"/>
      <c r="D11" s="658"/>
      <c r="E11" s="658"/>
      <c r="F11" s="658"/>
      <c r="G11" s="658"/>
      <c r="H11" s="658"/>
      <c r="I11" s="658"/>
      <c r="J11" s="658"/>
      <c r="K11" s="658"/>
      <c r="L11" s="659"/>
      <c r="M11" s="19"/>
      <c r="N11" s="19"/>
      <c r="O11" s="15"/>
      <c r="P11" s="15"/>
    </row>
    <row r="12" spans="1:16" s="6" customFormat="1" x14ac:dyDescent="0.25">
      <c r="A12" s="4"/>
      <c r="B12" s="657" t="str">
        <f>IF(Intro!$G$20="English",O12,P12)</f>
        <v>Pour les questions de cet onglet, notez ce qui suit :</v>
      </c>
      <c r="C12" s="658"/>
      <c r="D12" s="658"/>
      <c r="E12" s="658"/>
      <c r="F12" s="658"/>
      <c r="G12" s="658"/>
      <c r="H12" s="658"/>
      <c r="I12" s="658"/>
      <c r="J12" s="658"/>
      <c r="K12" s="658"/>
      <c r="L12" s="659"/>
      <c r="M12" s="19"/>
      <c r="N12" s="19"/>
      <c r="O12" s="15" t="s">
        <v>142</v>
      </c>
      <c r="P12" s="15" t="s">
        <v>143</v>
      </c>
    </row>
    <row r="13" spans="1:16" s="6" customFormat="1" ht="27" customHeight="1" x14ac:dyDescent="0.25">
      <c r="A13" s="4"/>
      <c r="B13" s="721" t="str">
        <f>IF(Intro!$G$20="English",O13,P13)</f>
        <v xml:space="preserve">• Veuillez indiquer seulement les ventes effectuées à partir des importations de votre entreprise. Les ventes de marchandises achetées auprès de producteurs canadiens doivent être exclues. </v>
      </c>
      <c r="C13" s="722"/>
      <c r="D13" s="722"/>
      <c r="E13" s="722"/>
      <c r="F13" s="722"/>
      <c r="G13" s="722"/>
      <c r="H13" s="722"/>
      <c r="I13" s="722"/>
      <c r="J13" s="722"/>
      <c r="K13" s="722"/>
      <c r="L13" s="723"/>
      <c r="M13" s="19"/>
      <c r="N13" s="19"/>
      <c r="O13" s="15" t="s">
        <v>354</v>
      </c>
      <c r="P13" s="15" t="s">
        <v>259</v>
      </c>
    </row>
    <row r="14" spans="1:16" s="6" customFormat="1" x14ac:dyDescent="0.25">
      <c r="A14" s="4"/>
      <c r="B14" s="657" t="str">
        <f>IF(Intro!$G$20="English",O14,P14)</f>
        <v>• Déclarez toutes les ventes aux entreprises associées canadiennes et étrangères.</v>
      </c>
      <c r="C14" s="658"/>
      <c r="D14" s="658"/>
      <c r="E14" s="658"/>
      <c r="F14" s="658"/>
      <c r="G14" s="658"/>
      <c r="H14" s="658"/>
      <c r="I14" s="658"/>
      <c r="J14" s="658"/>
      <c r="K14" s="658"/>
      <c r="L14" s="659"/>
      <c r="M14" s="19"/>
      <c r="N14" s="19"/>
      <c r="O14" s="15" t="s">
        <v>256</v>
      </c>
      <c r="P14" s="15" t="s">
        <v>260</v>
      </c>
    </row>
    <row r="15" spans="1:16" s="6" customFormat="1" x14ac:dyDescent="0.25">
      <c r="A15" s="4"/>
      <c r="B15" s="657" t="str">
        <f>IF(Intro!$G$20="English",O15,P15)</f>
        <v>• Déclarez toutes les ventes à compter de la date de l’expédition au client ou à son entrepôt.</v>
      </c>
      <c r="C15" s="658"/>
      <c r="D15" s="658"/>
      <c r="E15" s="658"/>
      <c r="F15" s="658"/>
      <c r="G15" s="658"/>
      <c r="H15" s="658"/>
      <c r="I15" s="658"/>
      <c r="J15" s="658"/>
      <c r="K15" s="658"/>
      <c r="L15" s="659"/>
      <c r="M15" s="19"/>
      <c r="N15" s="19"/>
      <c r="O15" s="15" t="s">
        <v>257</v>
      </c>
      <c r="P15" s="15" t="s">
        <v>261</v>
      </c>
    </row>
    <row r="16" spans="1:16" s="6" customFormat="1" x14ac:dyDescent="0.25">
      <c r="A16" s="4"/>
      <c r="B16" s="660" t="str">
        <f>IF(Intro!$G$20="English",O16,P16)</f>
        <v>• Déclarez toutes les valeurs en dollars canadiens.</v>
      </c>
      <c r="C16" s="661"/>
      <c r="D16" s="661"/>
      <c r="E16" s="661"/>
      <c r="F16" s="661"/>
      <c r="G16" s="661"/>
      <c r="H16" s="661"/>
      <c r="I16" s="661"/>
      <c r="J16" s="661"/>
      <c r="K16" s="661"/>
      <c r="L16" s="662"/>
      <c r="M16" s="19"/>
      <c r="N16" s="19"/>
      <c r="O16" s="15" t="s">
        <v>258</v>
      </c>
      <c r="P16" s="15" t="s">
        <v>262</v>
      </c>
    </row>
    <row r="17" spans="1:17" s="6" customFormat="1" x14ac:dyDescent="0.25">
      <c r="A17" s="4"/>
      <c r="B17" s="14"/>
      <c r="C17" s="14"/>
      <c r="D17" s="14"/>
      <c r="E17" s="3"/>
      <c r="F17" s="3"/>
      <c r="G17" s="3"/>
      <c r="H17" s="3"/>
      <c r="I17" s="3"/>
      <c r="J17" s="3"/>
      <c r="K17" s="3"/>
      <c r="L17" s="3"/>
      <c r="O17" s="15"/>
      <c r="P17" s="15"/>
    </row>
    <row r="18" spans="1:17" x14ac:dyDescent="0.25">
      <c r="A18" s="7"/>
      <c r="B18" s="533" t="str">
        <f>UPPER(IF(Intro!$G$20="English",O18,P18))</f>
        <v>VENTES</v>
      </c>
      <c r="C18" s="534"/>
      <c r="D18" s="534"/>
      <c r="E18" s="534"/>
      <c r="F18" s="534"/>
      <c r="G18" s="534"/>
      <c r="H18" s="534"/>
      <c r="I18" s="534"/>
      <c r="J18" s="534"/>
      <c r="K18" s="534"/>
      <c r="L18" s="535"/>
      <c r="M18" s="10"/>
      <c r="O18" s="10" t="s">
        <v>126</v>
      </c>
      <c r="P18" s="10" t="s">
        <v>127</v>
      </c>
    </row>
    <row r="19" spans="1:17" x14ac:dyDescent="0.25">
      <c r="A19" s="7"/>
      <c r="B19" s="671" t="s">
        <v>12</v>
      </c>
      <c r="C19" s="672"/>
      <c r="D19" s="672"/>
      <c r="E19" s="672"/>
      <c r="F19" s="672"/>
      <c r="G19" s="672"/>
      <c r="H19" s="672"/>
      <c r="I19" s="672"/>
      <c r="J19" s="672"/>
      <c r="K19" s="672"/>
      <c r="L19" s="673"/>
      <c r="M19" s="10"/>
    </row>
    <row r="20" spans="1:17" x14ac:dyDescent="0.25">
      <c r="A20" s="7"/>
      <c r="B20" s="74"/>
      <c r="C20" s="75"/>
      <c r="D20" s="75"/>
      <c r="E20" s="75"/>
      <c r="F20" s="75"/>
      <c r="G20" s="75"/>
      <c r="H20" s="75"/>
      <c r="I20" s="75"/>
      <c r="J20" s="75"/>
      <c r="K20" s="75"/>
      <c r="L20" s="58"/>
      <c r="M20" s="10"/>
    </row>
    <row r="21" spans="1:17" x14ac:dyDescent="0.25">
      <c r="A21" s="7"/>
      <c r="B21" s="530" t="str">
        <f>IF(Intro!$G$20="English",O21,P21)</f>
        <v>Décrivez la méthode utilisée pour déterminer la valeur des ventes de votre entreprise à ses entreprises associées au Canada et/ou à l’étranger.</v>
      </c>
      <c r="C21" s="531"/>
      <c r="D21" s="531"/>
      <c r="E21" s="531"/>
      <c r="F21" s="531"/>
      <c r="G21" s="531"/>
      <c r="H21" s="531"/>
      <c r="I21" s="531"/>
      <c r="J21" s="531"/>
      <c r="K21" s="531"/>
      <c r="L21" s="532"/>
      <c r="M21" s="10"/>
      <c r="O21" s="10" t="s">
        <v>86</v>
      </c>
      <c r="P21" s="28" t="s">
        <v>87</v>
      </c>
    </row>
    <row r="22" spans="1:17" x14ac:dyDescent="0.25">
      <c r="A22" s="7"/>
      <c r="B22" s="530" t="str">
        <f>IF(Intro!$G$20="English",O22,P22)</f>
        <v>Note - Ne répondez à cette question que si votre entreprise a vendu les marchandises du 1er janvier 2023 au 31 mars 2026.</v>
      </c>
      <c r="C22" s="531"/>
      <c r="D22" s="531"/>
      <c r="E22" s="531"/>
      <c r="F22" s="531"/>
      <c r="G22" s="531"/>
      <c r="H22" s="531"/>
      <c r="I22" s="531"/>
      <c r="J22" s="531"/>
      <c r="K22" s="531"/>
      <c r="L22" s="532"/>
      <c r="M22" s="10"/>
      <c r="O22" s="18" t="str">
        <f>"Note - Only complete this question if your firm sold the goods between January 1, "&amp;Variables!B6&amp;", and "&amp;Variables!B7&amp;"."</f>
        <v>Note - Only complete this question if your firm sold the goods between January 1, 2023, and March 31,2026.</v>
      </c>
      <c r="P22" s="10" t="str">
        <f>"Note - Ne répondez à cette question que si votre entreprise a vendu les marchandises du 1er janvier "&amp;Variables!C6&amp;" au "&amp;Variables!C7&amp;"."</f>
        <v>Note - Ne répondez à cette question que si votre entreprise a vendu les marchandises du 1er janvier 2023 au 31 mars 2026.</v>
      </c>
    </row>
    <row r="23" spans="1:17" x14ac:dyDescent="0.25">
      <c r="A23" s="7"/>
      <c r="B23" s="74"/>
      <c r="C23" s="75"/>
      <c r="D23" s="75"/>
      <c r="E23" s="75"/>
      <c r="F23" s="75"/>
      <c r="G23" s="75"/>
      <c r="H23" s="75"/>
      <c r="I23" s="75"/>
      <c r="J23" s="75"/>
      <c r="K23" s="75"/>
      <c r="L23" s="58"/>
      <c r="M23" s="10"/>
    </row>
    <row r="24" spans="1:17" s="11" customFormat="1" x14ac:dyDescent="0.25">
      <c r="A24" s="8"/>
      <c r="B24" s="663"/>
      <c r="C24" s="664"/>
      <c r="D24" s="664"/>
      <c r="E24" s="664"/>
      <c r="F24" s="664"/>
      <c r="G24" s="664"/>
      <c r="H24" s="664"/>
      <c r="I24" s="664"/>
      <c r="J24" s="664"/>
      <c r="K24" s="664"/>
      <c r="L24" s="665"/>
      <c r="M24" s="38"/>
      <c r="Q24" s="10"/>
    </row>
    <row r="25" spans="1:17" s="11" customFormat="1" x14ac:dyDescent="0.25">
      <c r="A25" s="8"/>
      <c r="B25" s="663"/>
      <c r="C25" s="664"/>
      <c r="D25" s="664"/>
      <c r="E25" s="664"/>
      <c r="F25" s="664"/>
      <c r="G25" s="664"/>
      <c r="H25" s="664"/>
      <c r="I25" s="664"/>
      <c r="J25" s="664"/>
      <c r="K25" s="664"/>
      <c r="L25" s="665"/>
      <c r="M25" s="38"/>
      <c r="Q25" s="10"/>
    </row>
    <row r="26" spans="1:17" s="11" customFormat="1" x14ac:dyDescent="0.25">
      <c r="A26" s="8"/>
      <c r="B26" s="663"/>
      <c r="C26" s="664"/>
      <c r="D26" s="664"/>
      <c r="E26" s="664"/>
      <c r="F26" s="664"/>
      <c r="G26" s="664"/>
      <c r="H26" s="664"/>
      <c r="I26" s="664"/>
      <c r="J26" s="664"/>
      <c r="K26" s="664"/>
      <c r="L26" s="665"/>
      <c r="M26" s="38"/>
      <c r="Q26" s="10"/>
    </row>
    <row r="27" spans="1:17" s="11" customFormat="1" x14ac:dyDescent="0.25">
      <c r="A27" s="8"/>
      <c r="B27" s="663"/>
      <c r="C27" s="664"/>
      <c r="D27" s="664"/>
      <c r="E27" s="664"/>
      <c r="F27" s="664"/>
      <c r="G27" s="664"/>
      <c r="H27" s="664"/>
      <c r="I27" s="664"/>
      <c r="J27" s="664"/>
      <c r="K27" s="664"/>
      <c r="L27" s="665"/>
      <c r="M27" s="38"/>
      <c r="Q27" s="10"/>
    </row>
    <row r="28" spans="1:17" s="11" customFormat="1" x14ac:dyDescent="0.25">
      <c r="A28" s="8"/>
      <c r="B28" s="663"/>
      <c r="C28" s="664"/>
      <c r="D28" s="664"/>
      <c r="E28" s="664"/>
      <c r="F28" s="664"/>
      <c r="G28" s="664"/>
      <c r="H28" s="664"/>
      <c r="I28" s="664"/>
      <c r="J28" s="664"/>
      <c r="K28" s="664"/>
      <c r="L28" s="665"/>
      <c r="M28" s="38"/>
      <c r="Q28" s="10"/>
    </row>
    <row r="29" spans="1:17" s="11" customFormat="1" x14ac:dyDescent="0.25">
      <c r="A29" s="8"/>
      <c r="B29" s="663"/>
      <c r="C29" s="664"/>
      <c r="D29" s="664"/>
      <c r="E29" s="664"/>
      <c r="F29" s="664"/>
      <c r="G29" s="664"/>
      <c r="H29" s="664"/>
      <c r="I29" s="664"/>
      <c r="J29" s="664"/>
      <c r="K29" s="664"/>
      <c r="L29" s="665"/>
      <c r="M29" s="38"/>
      <c r="Q29" s="10"/>
    </row>
    <row r="30" spans="1:17" s="11" customFormat="1" x14ac:dyDescent="0.25">
      <c r="A30" s="8"/>
      <c r="B30" s="663"/>
      <c r="C30" s="664"/>
      <c r="D30" s="664"/>
      <c r="E30" s="664"/>
      <c r="F30" s="664"/>
      <c r="G30" s="664"/>
      <c r="H30" s="664"/>
      <c r="I30" s="664"/>
      <c r="J30" s="664"/>
      <c r="K30" s="664"/>
      <c r="L30" s="665"/>
      <c r="M30" s="38"/>
      <c r="Q30" s="10"/>
    </row>
    <row r="31" spans="1:17" s="11" customFormat="1" x14ac:dyDescent="0.25">
      <c r="A31" s="8"/>
      <c r="B31" s="663"/>
      <c r="C31" s="664"/>
      <c r="D31" s="664"/>
      <c r="E31" s="664"/>
      <c r="F31" s="664"/>
      <c r="G31" s="664"/>
      <c r="H31" s="664"/>
      <c r="I31" s="664"/>
      <c r="J31" s="664"/>
      <c r="K31" s="664"/>
      <c r="L31" s="665"/>
      <c r="M31" s="38"/>
      <c r="Q31" s="10"/>
    </row>
    <row r="32" spans="1:17" x14ac:dyDescent="0.25">
      <c r="A32" s="7"/>
      <c r="B32" s="72"/>
      <c r="C32" s="69"/>
      <c r="D32" s="69"/>
      <c r="E32" s="69"/>
      <c r="F32" s="69"/>
      <c r="G32" s="69"/>
      <c r="H32" s="69"/>
      <c r="I32" s="69"/>
      <c r="J32" s="69"/>
      <c r="K32" s="69"/>
      <c r="L32" s="70"/>
      <c r="M32" s="10"/>
    </row>
    <row r="33" spans="1:19" s="11" customFormat="1" x14ac:dyDescent="0.25">
      <c r="A33" s="7"/>
      <c r="B33" s="674" t="s">
        <v>15</v>
      </c>
      <c r="C33" s="675"/>
      <c r="D33" s="675"/>
      <c r="E33" s="675"/>
      <c r="F33" s="675"/>
      <c r="G33" s="675"/>
      <c r="H33" s="675"/>
      <c r="I33" s="675"/>
      <c r="J33" s="675"/>
      <c r="K33" s="675"/>
      <c r="L33" s="676"/>
      <c r="M33" s="73"/>
    </row>
    <row r="34" spans="1:19" x14ac:dyDescent="0.25">
      <c r="A34" s="7"/>
      <c r="B34" s="74"/>
      <c r="C34" s="75"/>
      <c r="D34" s="75"/>
      <c r="E34" s="75"/>
      <c r="F34" s="75"/>
      <c r="G34" s="75"/>
      <c r="H34" s="75"/>
      <c r="I34" s="75"/>
      <c r="J34" s="75"/>
      <c r="K34" s="75"/>
      <c r="L34" s="58"/>
      <c r="M34" s="10"/>
    </row>
    <row r="35" spans="1:19" ht="14.1" customHeight="1" x14ac:dyDescent="0.25">
      <c r="A35" s="7"/>
      <c r="B35" s="530" t="str">
        <f>IF(Intro!$G$20="English",O35,P35)</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C35" s="531"/>
      <c r="D35" s="531"/>
      <c r="E35" s="531"/>
      <c r="F35" s="531"/>
      <c r="G35" s="531"/>
      <c r="H35" s="531"/>
      <c r="I35" s="531"/>
      <c r="J35" s="531"/>
      <c r="K35" s="531"/>
      <c r="L35" s="532"/>
      <c r="M35" s="10"/>
      <c r="O35" s="10"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have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have changed since January 1, 2023.</v>
      </c>
      <c r="P35" s="10"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Q35" s="38"/>
      <c r="R35" s="38"/>
      <c r="S35" s="38"/>
    </row>
    <row r="36" spans="1:19" x14ac:dyDescent="0.25">
      <c r="A36" s="7"/>
      <c r="B36" s="530"/>
      <c r="C36" s="531"/>
      <c r="D36" s="531"/>
      <c r="E36" s="531"/>
      <c r="F36" s="531"/>
      <c r="G36" s="531"/>
      <c r="H36" s="531"/>
      <c r="I36" s="531"/>
      <c r="J36" s="531"/>
      <c r="K36" s="531"/>
      <c r="L36" s="532"/>
      <c r="M36" s="10"/>
      <c r="Q36" s="38"/>
      <c r="R36" s="38"/>
      <c r="S36" s="38"/>
    </row>
    <row r="37" spans="1:19" x14ac:dyDescent="0.25">
      <c r="A37" s="7"/>
      <c r="B37" s="530"/>
      <c r="C37" s="531"/>
      <c r="D37" s="531"/>
      <c r="E37" s="531"/>
      <c r="F37" s="531"/>
      <c r="G37" s="531"/>
      <c r="H37" s="531"/>
      <c r="I37" s="531"/>
      <c r="J37" s="531"/>
      <c r="K37" s="531"/>
      <c r="L37" s="532"/>
      <c r="M37" s="10"/>
      <c r="Q37" s="38"/>
      <c r="R37" s="38"/>
      <c r="S37" s="38"/>
    </row>
    <row r="38" spans="1:19" x14ac:dyDescent="0.25">
      <c r="A38" s="7"/>
      <c r="B38" s="530" t="str">
        <f>B22</f>
        <v>Note - Ne répondez à cette question que si votre entreprise a vendu les marchandises du 1er janvier 2023 au 31 mars 2026.</v>
      </c>
      <c r="C38" s="531"/>
      <c r="D38" s="531"/>
      <c r="E38" s="531"/>
      <c r="F38" s="531"/>
      <c r="G38" s="531"/>
      <c r="H38" s="531"/>
      <c r="I38" s="531"/>
      <c r="J38" s="531"/>
      <c r="K38" s="531"/>
      <c r="L38" s="532"/>
      <c r="M38" s="10"/>
      <c r="O38" s="18"/>
    </row>
    <row r="39" spans="1:19" x14ac:dyDescent="0.25">
      <c r="A39" s="7"/>
      <c r="B39" s="74"/>
      <c r="C39" s="75"/>
      <c r="D39" s="75"/>
      <c r="E39" s="75"/>
      <c r="F39" s="75"/>
      <c r="G39" s="75"/>
      <c r="H39" s="75"/>
      <c r="I39" s="75"/>
      <c r="J39" s="75"/>
      <c r="K39" s="75"/>
      <c r="L39" s="58"/>
      <c r="M39" s="10"/>
    </row>
    <row r="40" spans="1:19" s="11" customFormat="1" x14ac:dyDescent="0.25">
      <c r="A40" s="8"/>
      <c r="B40" s="663"/>
      <c r="C40" s="664"/>
      <c r="D40" s="664"/>
      <c r="E40" s="664"/>
      <c r="F40" s="664"/>
      <c r="G40" s="664"/>
      <c r="H40" s="664"/>
      <c r="I40" s="664"/>
      <c r="J40" s="664"/>
      <c r="K40" s="664"/>
      <c r="L40" s="665"/>
      <c r="M40" s="38"/>
      <c r="Q40" s="10"/>
    </row>
    <row r="41" spans="1:19" s="11" customFormat="1" x14ac:dyDescent="0.25">
      <c r="A41" s="8"/>
      <c r="B41" s="663"/>
      <c r="C41" s="664"/>
      <c r="D41" s="664"/>
      <c r="E41" s="664"/>
      <c r="F41" s="664"/>
      <c r="G41" s="664"/>
      <c r="H41" s="664"/>
      <c r="I41" s="664"/>
      <c r="J41" s="664"/>
      <c r="K41" s="664"/>
      <c r="L41" s="665"/>
      <c r="M41" s="38"/>
      <c r="Q41" s="10"/>
    </row>
    <row r="42" spans="1:19" s="11" customFormat="1" x14ac:dyDescent="0.25">
      <c r="A42" s="8"/>
      <c r="B42" s="663"/>
      <c r="C42" s="664"/>
      <c r="D42" s="664"/>
      <c r="E42" s="664"/>
      <c r="F42" s="664"/>
      <c r="G42" s="664"/>
      <c r="H42" s="664"/>
      <c r="I42" s="664"/>
      <c r="J42" s="664"/>
      <c r="K42" s="664"/>
      <c r="L42" s="665"/>
      <c r="M42" s="38"/>
      <c r="Q42" s="10"/>
    </row>
    <row r="43" spans="1:19" s="11" customFormat="1" x14ac:dyDescent="0.25">
      <c r="A43" s="8"/>
      <c r="B43" s="663"/>
      <c r="C43" s="664"/>
      <c r="D43" s="664"/>
      <c r="E43" s="664"/>
      <c r="F43" s="664"/>
      <c r="G43" s="664"/>
      <c r="H43" s="664"/>
      <c r="I43" s="664"/>
      <c r="J43" s="664"/>
      <c r="K43" s="664"/>
      <c r="L43" s="665"/>
      <c r="M43" s="38"/>
      <c r="Q43" s="10"/>
    </row>
    <row r="44" spans="1:19" s="11" customFormat="1" x14ac:dyDescent="0.25">
      <c r="A44" s="8"/>
      <c r="B44" s="663"/>
      <c r="C44" s="664"/>
      <c r="D44" s="664"/>
      <c r="E44" s="664"/>
      <c r="F44" s="664"/>
      <c r="G44" s="664"/>
      <c r="H44" s="664"/>
      <c r="I44" s="664"/>
      <c r="J44" s="664"/>
      <c r="K44" s="664"/>
      <c r="L44" s="665"/>
      <c r="M44" s="38"/>
      <c r="Q44" s="10"/>
    </row>
    <row r="45" spans="1:19" s="11" customFormat="1" x14ac:dyDescent="0.25">
      <c r="A45" s="8"/>
      <c r="B45" s="663"/>
      <c r="C45" s="664"/>
      <c r="D45" s="664"/>
      <c r="E45" s="664"/>
      <c r="F45" s="664"/>
      <c r="G45" s="664"/>
      <c r="H45" s="664"/>
      <c r="I45" s="664"/>
      <c r="J45" s="664"/>
      <c r="K45" s="664"/>
      <c r="L45" s="665"/>
      <c r="M45" s="38"/>
      <c r="Q45" s="10"/>
    </row>
    <row r="46" spans="1:19" s="11" customFormat="1" x14ac:dyDescent="0.25">
      <c r="A46" s="8"/>
      <c r="B46" s="663"/>
      <c r="C46" s="664"/>
      <c r="D46" s="664"/>
      <c r="E46" s="664"/>
      <c r="F46" s="664"/>
      <c r="G46" s="664"/>
      <c r="H46" s="664"/>
      <c r="I46" s="664"/>
      <c r="J46" s="664"/>
      <c r="K46" s="664"/>
      <c r="L46" s="665"/>
      <c r="M46" s="38"/>
      <c r="Q46" s="10"/>
    </row>
    <row r="47" spans="1:19" s="11" customFormat="1" x14ac:dyDescent="0.25">
      <c r="A47" s="8"/>
      <c r="B47" s="663"/>
      <c r="C47" s="664"/>
      <c r="D47" s="664"/>
      <c r="E47" s="664"/>
      <c r="F47" s="664"/>
      <c r="G47" s="664"/>
      <c r="H47" s="664"/>
      <c r="I47" s="664"/>
      <c r="J47" s="664"/>
      <c r="K47" s="664"/>
      <c r="L47" s="665"/>
      <c r="M47" s="38"/>
      <c r="Q47" s="10"/>
    </row>
    <row r="48" spans="1:19" x14ac:dyDescent="0.25">
      <c r="A48" s="7"/>
      <c r="B48" s="72"/>
      <c r="C48" s="69"/>
      <c r="D48" s="69"/>
      <c r="E48" s="69"/>
      <c r="F48" s="69"/>
      <c r="G48" s="69"/>
      <c r="H48" s="69"/>
      <c r="I48" s="69"/>
      <c r="J48" s="69"/>
      <c r="K48" s="69"/>
      <c r="L48" s="70"/>
      <c r="M48" s="10"/>
    </row>
    <row r="49" spans="1:17" s="11" customFormat="1" x14ac:dyDescent="0.25">
      <c r="A49" s="7"/>
      <c r="B49" s="674" t="s">
        <v>16</v>
      </c>
      <c r="C49" s="675"/>
      <c r="D49" s="675"/>
      <c r="E49" s="675"/>
      <c r="F49" s="675"/>
      <c r="G49" s="675"/>
      <c r="H49" s="675"/>
      <c r="I49" s="675"/>
      <c r="J49" s="675"/>
      <c r="K49" s="675"/>
      <c r="L49" s="676"/>
      <c r="M49" s="73"/>
    </row>
    <row r="50" spans="1:17" x14ac:dyDescent="0.25">
      <c r="A50" s="7"/>
      <c r="B50" s="74"/>
      <c r="C50" s="75"/>
      <c r="D50" s="75"/>
      <c r="E50" s="75"/>
      <c r="F50" s="75"/>
      <c r="G50" s="75"/>
      <c r="H50" s="75"/>
      <c r="I50" s="75"/>
      <c r="J50" s="75"/>
      <c r="K50" s="75"/>
      <c r="L50" s="58"/>
      <c r="M50" s="10"/>
    </row>
    <row r="51" spans="1:17" x14ac:dyDescent="0.25">
      <c r="A51" s="7"/>
      <c r="B51" s="654" t="str">
        <f>IF(Intro!$G$20="English",O51,P51)</f>
        <v>Indiquez la proportion de la valeur de vente nette rendue de vos importations qui est représentée par les frais de livraison.</v>
      </c>
      <c r="C51" s="655"/>
      <c r="D51" s="655"/>
      <c r="E51" s="655"/>
      <c r="F51" s="655"/>
      <c r="G51" s="655"/>
      <c r="H51" s="655"/>
      <c r="I51" s="655"/>
      <c r="J51" s="655"/>
      <c r="K51" s="655"/>
      <c r="L51" s="656"/>
      <c r="M51" s="10"/>
      <c r="O51" s="10" t="s">
        <v>420</v>
      </c>
      <c r="P51" s="153" t="s">
        <v>421</v>
      </c>
    </row>
    <row r="52" spans="1:17" x14ac:dyDescent="0.25">
      <c r="A52" s="7"/>
      <c r="B52" s="530" t="str">
        <f>B22</f>
        <v>Note - Ne répondez à cette question que si votre entreprise a vendu les marchandises du 1er janvier 2023 au 31 mars 2026.</v>
      </c>
      <c r="C52" s="531"/>
      <c r="D52" s="531"/>
      <c r="E52" s="531"/>
      <c r="F52" s="531"/>
      <c r="G52" s="531"/>
      <c r="H52" s="531"/>
      <c r="I52" s="531"/>
      <c r="J52" s="531"/>
      <c r="K52" s="531"/>
      <c r="L52" s="532"/>
      <c r="M52" s="10"/>
      <c r="O52" s="18"/>
    </row>
    <row r="53" spans="1:17" x14ac:dyDescent="0.25">
      <c r="A53" s="7"/>
      <c r="B53" s="74"/>
      <c r="C53" s="75"/>
      <c r="D53" s="75"/>
      <c r="E53" s="75"/>
      <c r="F53" s="75"/>
      <c r="G53" s="75"/>
      <c r="H53" s="75"/>
      <c r="I53" s="75"/>
      <c r="J53" s="75"/>
      <c r="K53" s="75"/>
      <c r="L53" s="58"/>
      <c r="M53" s="10"/>
    </row>
    <row r="54" spans="1:17" x14ac:dyDescent="0.25">
      <c r="A54" s="7"/>
      <c r="B54" s="61"/>
      <c r="C54" s="62"/>
      <c r="D54" s="35"/>
      <c r="E54" s="719">
        <f>Variables!$B$6</f>
        <v>2023</v>
      </c>
      <c r="F54" s="719">
        <f>E54+1</f>
        <v>2024</v>
      </c>
      <c r="G54" s="719">
        <f>F54+1</f>
        <v>2025</v>
      </c>
      <c r="H54" s="719" t="str">
        <f>IF(Intro!$G$20="English",Variables!B9,Variables!C9)</f>
        <v>janv.-mars 2025</v>
      </c>
      <c r="I54" s="719" t="str">
        <f>IF(Intro!$G$20="English",Variables!B10,Variables!C10)</f>
        <v>janv.-mars 2026</v>
      </c>
      <c r="J54" s="88"/>
      <c r="K54" s="88"/>
      <c r="L54" s="71"/>
      <c r="M54" s="10"/>
      <c r="O54" s="18"/>
    </row>
    <row r="55" spans="1:17" x14ac:dyDescent="0.25">
      <c r="A55" s="7"/>
      <c r="B55" s="113"/>
      <c r="C55" s="114"/>
      <c r="D55" s="35"/>
      <c r="E55" s="720"/>
      <c r="F55" s="720"/>
      <c r="G55" s="720"/>
      <c r="H55" s="720"/>
      <c r="I55" s="720"/>
      <c r="J55" s="88"/>
      <c r="K55" s="88"/>
      <c r="L55" s="71"/>
      <c r="M55" s="10"/>
      <c r="O55" s="18"/>
    </row>
    <row r="56" spans="1:17" x14ac:dyDescent="0.25">
      <c r="A56" s="7"/>
      <c r="B56" s="698" t="str">
        <f>IF(Intro!$G$20="English",O56,P56)</f>
        <v>Coût de livraison</v>
      </c>
      <c r="C56" s="699"/>
      <c r="D56" s="126" t="s">
        <v>123</v>
      </c>
      <c r="E56" s="188"/>
      <c r="F56" s="188"/>
      <c r="G56" s="188"/>
      <c r="H56" s="188"/>
      <c r="I56" s="188"/>
      <c r="J56" s="88"/>
      <c r="K56" s="88"/>
      <c r="L56" s="71"/>
      <c r="M56" s="10"/>
      <c r="O56" s="10" t="s">
        <v>149</v>
      </c>
      <c r="P56" s="10" t="s">
        <v>150</v>
      </c>
    </row>
    <row r="57" spans="1:17" x14ac:dyDescent="0.25">
      <c r="A57" s="7"/>
      <c r="B57" s="74"/>
      <c r="C57" s="75"/>
      <c r="D57" s="75"/>
      <c r="E57" s="75"/>
      <c r="F57" s="75"/>
      <c r="G57" s="75"/>
      <c r="H57" s="75"/>
      <c r="I57" s="75"/>
      <c r="J57" s="75"/>
      <c r="K57" s="75"/>
      <c r="L57" s="58"/>
      <c r="M57" s="10"/>
    </row>
    <row r="58" spans="1:17" x14ac:dyDescent="0.25">
      <c r="A58" s="7"/>
      <c r="B58" s="654" t="str">
        <f>IF(Intro!$G$20="English",O58,P58)</f>
        <v>Expliquez pourquoi la proportion de la valeur de vente nette rendue de vos importations représentée par les frais de livraison a changé depuis le 1er janvier 2023.</v>
      </c>
      <c r="C58" s="655"/>
      <c r="D58" s="655"/>
      <c r="E58" s="655"/>
      <c r="F58" s="655"/>
      <c r="G58" s="655"/>
      <c r="H58" s="655"/>
      <c r="I58" s="655"/>
      <c r="J58" s="655"/>
      <c r="K58" s="655"/>
      <c r="L58" s="656"/>
      <c r="M58" s="10"/>
      <c r="O58" s="10" t="str">
        <f>"Explain why the proportion of your import net delivered selling value represented by delivery costs has changed since January 1, "&amp;Variables!B6&amp;"."</f>
        <v>Explain why the proportion of your import net delivered selling value represented by delivery costs has changed since January 1, 2023.</v>
      </c>
      <c r="P58" s="153" t="str">
        <f>"Expliquez pourquoi la proportion de la valeur de vente nette rendue de vos importations représentée par les frais de livraison a changé depuis le 1er janvier "&amp;Variables!B6&amp;"."</f>
        <v>Expliquez pourquoi la proportion de la valeur de vente nette rendue de vos importations représentée par les frais de livraison a changé depuis le 1er janvier 2023.</v>
      </c>
    </row>
    <row r="59" spans="1:17" x14ac:dyDescent="0.25">
      <c r="A59" s="7"/>
      <c r="B59" s="74"/>
      <c r="C59" s="75"/>
      <c r="D59" s="75"/>
      <c r="E59" s="75"/>
      <c r="F59" s="75"/>
      <c r="G59" s="75"/>
      <c r="H59" s="75"/>
      <c r="I59" s="75"/>
      <c r="J59" s="75"/>
      <c r="K59" s="75"/>
      <c r="L59" s="58"/>
      <c r="M59" s="10"/>
    </row>
    <row r="60" spans="1:17" s="11" customFormat="1" x14ac:dyDescent="0.25">
      <c r="A60" s="8"/>
      <c r="B60" s="663"/>
      <c r="C60" s="664"/>
      <c r="D60" s="664"/>
      <c r="E60" s="664"/>
      <c r="F60" s="664"/>
      <c r="G60" s="664"/>
      <c r="H60" s="664"/>
      <c r="I60" s="664"/>
      <c r="J60" s="664"/>
      <c r="K60" s="664"/>
      <c r="L60" s="665"/>
      <c r="M60" s="38"/>
      <c r="Q60" s="10"/>
    </row>
    <row r="61" spans="1:17" s="11" customFormat="1" x14ac:dyDescent="0.25">
      <c r="A61" s="8"/>
      <c r="B61" s="663"/>
      <c r="C61" s="664"/>
      <c r="D61" s="664"/>
      <c r="E61" s="664"/>
      <c r="F61" s="664"/>
      <c r="G61" s="664"/>
      <c r="H61" s="664"/>
      <c r="I61" s="664"/>
      <c r="J61" s="664"/>
      <c r="K61" s="664"/>
      <c r="L61" s="665"/>
      <c r="M61" s="38"/>
      <c r="Q61" s="10"/>
    </row>
    <row r="62" spans="1:17" s="11" customFormat="1" x14ac:dyDescent="0.25">
      <c r="A62" s="8"/>
      <c r="B62" s="663"/>
      <c r="C62" s="664"/>
      <c r="D62" s="664"/>
      <c r="E62" s="664"/>
      <c r="F62" s="664"/>
      <c r="G62" s="664"/>
      <c r="H62" s="664"/>
      <c r="I62" s="664"/>
      <c r="J62" s="664"/>
      <c r="K62" s="664"/>
      <c r="L62" s="665"/>
      <c r="M62" s="38"/>
      <c r="Q62" s="10"/>
    </row>
    <row r="63" spans="1:17" s="11" customFormat="1" x14ac:dyDescent="0.25">
      <c r="A63" s="8"/>
      <c r="B63" s="663"/>
      <c r="C63" s="664"/>
      <c r="D63" s="664"/>
      <c r="E63" s="664"/>
      <c r="F63" s="664"/>
      <c r="G63" s="664"/>
      <c r="H63" s="664"/>
      <c r="I63" s="664"/>
      <c r="J63" s="664"/>
      <c r="K63" s="664"/>
      <c r="L63" s="665"/>
      <c r="M63" s="38"/>
      <c r="Q63" s="10"/>
    </row>
    <row r="64" spans="1:17" s="11" customFormat="1" x14ac:dyDescent="0.25">
      <c r="A64" s="8"/>
      <c r="B64" s="663"/>
      <c r="C64" s="664"/>
      <c r="D64" s="664"/>
      <c r="E64" s="664"/>
      <c r="F64" s="664"/>
      <c r="G64" s="664"/>
      <c r="H64" s="664"/>
      <c r="I64" s="664"/>
      <c r="J64" s="664"/>
      <c r="K64" s="664"/>
      <c r="L64" s="665"/>
      <c r="M64" s="38"/>
      <c r="Q64" s="10"/>
    </row>
    <row r="65" spans="1:19" s="11" customFormat="1" x14ac:dyDescent="0.25">
      <c r="A65" s="8"/>
      <c r="B65" s="663"/>
      <c r="C65" s="664"/>
      <c r="D65" s="664"/>
      <c r="E65" s="664"/>
      <c r="F65" s="664"/>
      <c r="G65" s="664"/>
      <c r="H65" s="664"/>
      <c r="I65" s="664"/>
      <c r="J65" s="664"/>
      <c r="K65" s="664"/>
      <c r="L65" s="665"/>
      <c r="M65" s="38"/>
      <c r="Q65" s="10"/>
    </row>
    <row r="66" spans="1:19" s="11" customFormat="1" x14ac:dyDescent="0.25">
      <c r="A66" s="8"/>
      <c r="B66" s="663"/>
      <c r="C66" s="664"/>
      <c r="D66" s="664"/>
      <c r="E66" s="664"/>
      <c r="F66" s="664"/>
      <c r="G66" s="664"/>
      <c r="H66" s="664"/>
      <c r="I66" s="664"/>
      <c r="J66" s="664"/>
      <c r="K66" s="664"/>
      <c r="L66" s="665"/>
      <c r="M66" s="38"/>
      <c r="Q66" s="10"/>
    </row>
    <row r="67" spans="1:19" s="11" customFormat="1" x14ac:dyDescent="0.25">
      <c r="A67" s="8"/>
      <c r="B67" s="663"/>
      <c r="C67" s="664"/>
      <c r="D67" s="664"/>
      <c r="E67" s="664"/>
      <c r="F67" s="664"/>
      <c r="G67" s="664"/>
      <c r="H67" s="664"/>
      <c r="I67" s="664"/>
      <c r="J67" s="664"/>
      <c r="K67" s="664"/>
      <c r="L67" s="665"/>
      <c r="M67" s="38"/>
      <c r="Q67" s="10"/>
    </row>
    <row r="68" spans="1:19" x14ac:dyDescent="0.25">
      <c r="A68" s="7"/>
      <c r="B68" s="72"/>
      <c r="C68" s="69"/>
      <c r="D68" s="69"/>
      <c r="E68" s="69"/>
      <c r="F68" s="69"/>
      <c r="G68" s="69"/>
      <c r="H68" s="69"/>
      <c r="I68" s="69"/>
      <c r="J68" s="69"/>
      <c r="K68" s="69"/>
      <c r="L68" s="70"/>
      <c r="M68" s="10"/>
    </row>
    <row r="69" spans="1:19" s="11" customFormat="1" x14ac:dyDescent="0.25">
      <c r="A69" s="7"/>
      <c r="B69" s="674" t="s">
        <v>17</v>
      </c>
      <c r="C69" s="675"/>
      <c r="D69" s="675"/>
      <c r="E69" s="675"/>
      <c r="F69" s="675"/>
      <c r="G69" s="675"/>
      <c r="H69" s="675"/>
      <c r="I69" s="675"/>
      <c r="J69" s="675"/>
      <c r="K69" s="675"/>
      <c r="L69" s="676"/>
      <c r="M69" s="73"/>
    </row>
    <row r="70" spans="1:19" x14ac:dyDescent="0.25">
      <c r="A70" s="7"/>
      <c r="B70" s="74"/>
      <c r="C70" s="75"/>
      <c r="D70" s="75"/>
      <c r="E70" s="75"/>
      <c r="F70" s="75"/>
      <c r="G70" s="75"/>
      <c r="H70" s="75"/>
      <c r="I70" s="75"/>
      <c r="J70" s="75"/>
      <c r="K70" s="75"/>
      <c r="L70" s="58"/>
      <c r="M70" s="10"/>
    </row>
    <row r="71" spans="1:19" ht="14.1" customHeight="1" x14ac:dyDescent="0.25">
      <c r="A71" s="7"/>
      <c r="B71" s="726" t="str">
        <f>IF(Intro!$G$20="English",O71,P71)</f>
        <v>Décrivez les différences entre la qualité commerciale et la qualité de construction des marchandises, tant en termes de prix que de coût. Si vous disposez des listes de prix, veuillez également les fournir de manière à illustrer ces différences.</v>
      </c>
      <c r="C71" s="727"/>
      <c r="D71" s="727"/>
      <c r="E71" s="727"/>
      <c r="F71" s="727"/>
      <c r="G71" s="727"/>
      <c r="H71" s="727"/>
      <c r="I71" s="727"/>
      <c r="J71" s="727"/>
      <c r="K71" s="727"/>
      <c r="L71" s="728"/>
      <c r="M71" s="10"/>
      <c r="O71" s="10" t="s">
        <v>275</v>
      </c>
      <c r="P71" s="10" t="s">
        <v>276</v>
      </c>
      <c r="Q71" s="38"/>
      <c r="R71" s="38"/>
      <c r="S71" s="38"/>
    </row>
    <row r="72" spans="1:19" x14ac:dyDescent="0.25">
      <c r="A72" s="7"/>
      <c r="B72" s="726"/>
      <c r="C72" s="727"/>
      <c r="D72" s="727"/>
      <c r="E72" s="727"/>
      <c r="F72" s="727"/>
      <c r="G72" s="727"/>
      <c r="H72" s="727"/>
      <c r="I72" s="727"/>
      <c r="J72" s="727"/>
      <c r="K72" s="727"/>
      <c r="L72" s="728"/>
      <c r="M72" s="10"/>
      <c r="Q72" s="38"/>
      <c r="R72" s="38"/>
      <c r="S72" s="38"/>
    </row>
    <row r="73" spans="1:19" x14ac:dyDescent="0.25">
      <c r="A73" s="7"/>
      <c r="B73" s="74"/>
      <c r="C73" s="75"/>
      <c r="D73" s="75"/>
      <c r="E73" s="75"/>
      <c r="F73" s="75"/>
      <c r="G73" s="75"/>
      <c r="H73" s="75"/>
      <c r="I73" s="75"/>
      <c r="J73" s="75"/>
      <c r="K73" s="75"/>
      <c r="L73" s="58"/>
      <c r="M73" s="10"/>
    </row>
    <row r="74" spans="1:19" s="11" customFormat="1" x14ac:dyDescent="0.25">
      <c r="A74" s="8"/>
      <c r="B74" s="663"/>
      <c r="C74" s="664"/>
      <c r="D74" s="664"/>
      <c r="E74" s="664"/>
      <c r="F74" s="664"/>
      <c r="G74" s="664"/>
      <c r="H74" s="664"/>
      <c r="I74" s="664"/>
      <c r="J74" s="664"/>
      <c r="K74" s="664"/>
      <c r="L74" s="665"/>
      <c r="M74" s="38"/>
      <c r="Q74" s="10"/>
    </row>
    <row r="75" spans="1:19" s="11" customFormat="1" x14ac:dyDescent="0.25">
      <c r="A75" s="8"/>
      <c r="B75" s="663"/>
      <c r="C75" s="664"/>
      <c r="D75" s="664"/>
      <c r="E75" s="664"/>
      <c r="F75" s="664"/>
      <c r="G75" s="664"/>
      <c r="H75" s="664"/>
      <c r="I75" s="664"/>
      <c r="J75" s="664"/>
      <c r="K75" s="664"/>
      <c r="L75" s="665"/>
      <c r="M75" s="38"/>
      <c r="Q75" s="10"/>
    </row>
    <row r="76" spans="1:19" s="11" customFormat="1" x14ac:dyDescent="0.25">
      <c r="A76" s="8"/>
      <c r="B76" s="663"/>
      <c r="C76" s="664"/>
      <c r="D76" s="664"/>
      <c r="E76" s="664"/>
      <c r="F76" s="664"/>
      <c r="G76" s="664"/>
      <c r="H76" s="664"/>
      <c r="I76" s="664"/>
      <c r="J76" s="664"/>
      <c r="K76" s="664"/>
      <c r="L76" s="665"/>
      <c r="M76" s="38"/>
      <c r="Q76" s="10"/>
    </row>
    <row r="77" spans="1:19" s="11" customFormat="1" x14ac:dyDescent="0.25">
      <c r="A77" s="8"/>
      <c r="B77" s="663"/>
      <c r="C77" s="664"/>
      <c r="D77" s="664"/>
      <c r="E77" s="664"/>
      <c r="F77" s="664"/>
      <c r="G77" s="664"/>
      <c r="H77" s="664"/>
      <c r="I77" s="664"/>
      <c r="J77" s="664"/>
      <c r="K77" s="664"/>
      <c r="L77" s="665"/>
      <c r="M77" s="38"/>
      <c r="Q77" s="10"/>
    </row>
    <row r="78" spans="1:19" s="11" customFormat="1" x14ac:dyDescent="0.25">
      <c r="A78" s="8"/>
      <c r="B78" s="663"/>
      <c r="C78" s="664"/>
      <c r="D78" s="664"/>
      <c r="E78" s="664"/>
      <c r="F78" s="664"/>
      <c r="G78" s="664"/>
      <c r="H78" s="664"/>
      <c r="I78" s="664"/>
      <c r="J78" s="664"/>
      <c r="K78" s="664"/>
      <c r="L78" s="665"/>
      <c r="M78" s="38"/>
      <c r="Q78" s="10"/>
    </row>
    <row r="79" spans="1:19" s="11" customFormat="1" x14ac:dyDescent="0.25">
      <c r="A79" s="8"/>
      <c r="B79" s="663"/>
      <c r="C79" s="664"/>
      <c r="D79" s="664"/>
      <c r="E79" s="664"/>
      <c r="F79" s="664"/>
      <c r="G79" s="664"/>
      <c r="H79" s="664"/>
      <c r="I79" s="664"/>
      <c r="J79" s="664"/>
      <c r="K79" s="664"/>
      <c r="L79" s="665"/>
      <c r="M79" s="38"/>
      <c r="Q79" s="10"/>
    </row>
    <row r="80" spans="1:19" s="11" customFormat="1" x14ac:dyDescent="0.25">
      <c r="A80" s="8"/>
      <c r="B80" s="663"/>
      <c r="C80" s="664"/>
      <c r="D80" s="664"/>
      <c r="E80" s="664"/>
      <c r="F80" s="664"/>
      <c r="G80" s="664"/>
      <c r="H80" s="664"/>
      <c r="I80" s="664"/>
      <c r="J80" s="664"/>
      <c r="K80" s="664"/>
      <c r="L80" s="665"/>
      <c r="M80" s="38"/>
      <c r="Q80" s="10"/>
    </row>
    <row r="81" spans="1:19" s="11" customFormat="1" x14ac:dyDescent="0.25">
      <c r="A81" s="8"/>
      <c r="B81" s="663"/>
      <c r="C81" s="664"/>
      <c r="D81" s="664"/>
      <c r="E81" s="664"/>
      <c r="F81" s="664"/>
      <c r="G81" s="664"/>
      <c r="H81" s="664"/>
      <c r="I81" s="664"/>
      <c r="J81" s="664"/>
      <c r="K81" s="664"/>
      <c r="L81" s="665"/>
      <c r="M81" s="38"/>
      <c r="Q81" s="10"/>
    </row>
    <row r="82" spans="1:19" x14ac:dyDescent="0.25">
      <c r="A82" s="7"/>
      <c r="B82" s="72"/>
      <c r="C82" s="69"/>
      <c r="D82" s="69"/>
      <c r="E82" s="69"/>
      <c r="F82" s="69"/>
      <c r="G82" s="69"/>
      <c r="H82" s="69"/>
      <c r="I82" s="69"/>
      <c r="J82" s="69"/>
      <c r="K82" s="69"/>
      <c r="L82" s="70"/>
      <c r="M82" s="10"/>
    </row>
    <row r="83" spans="1:19" s="11" customFormat="1" x14ac:dyDescent="0.25">
      <c r="A83" s="7"/>
      <c r="B83" s="674" t="s">
        <v>18</v>
      </c>
      <c r="C83" s="675"/>
      <c r="D83" s="675"/>
      <c r="E83" s="675"/>
      <c r="F83" s="675"/>
      <c r="G83" s="675"/>
      <c r="H83" s="675"/>
      <c r="I83" s="675"/>
      <c r="J83" s="675"/>
      <c r="K83" s="675"/>
      <c r="L83" s="676"/>
      <c r="M83" s="73"/>
    </row>
    <row r="84" spans="1:19" x14ac:dyDescent="0.25">
      <c r="A84" s="7"/>
      <c r="B84" s="74"/>
      <c r="C84" s="75"/>
      <c r="D84" s="75"/>
      <c r="E84" s="75"/>
      <c r="F84" s="75"/>
      <c r="G84" s="75"/>
      <c r="H84" s="75"/>
      <c r="I84" s="75"/>
      <c r="J84" s="75"/>
      <c r="K84" s="75"/>
      <c r="L84" s="58"/>
      <c r="M84" s="10"/>
    </row>
    <row r="85" spans="1:19" x14ac:dyDescent="0.25">
      <c r="A85" s="7"/>
      <c r="B85" s="716" t="str">
        <f>IF(Intro!$G$20="English",O85,P85)</f>
        <v>Existe-t-il une clientèle distincte au Canada pour l'achat de ces marchandises?</v>
      </c>
      <c r="C85" s="717"/>
      <c r="D85" s="717"/>
      <c r="E85" s="717"/>
      <c r="F85" s="717"/>
      <c r="G85" s="717"/>
      <c r="H85" s="717"/>
      <c r="I85" s="717"/>
      <c r="J85" s="717"/>
      <c r="K85" s="717"/>
      <c r="L85" s="718"/>
      <c r="M85" s="10"/>
      <c r="O85" s="10" t="s">
        <v>229</v>
      </c>
      <c r="P85" s="10" t="s">
        <v>230</v>
      </c>
      <c r="Q85" s="38"/>
      <c r="R85" s="38"/>
      <c r="S85" s="38"/>
    </row>
    <row r="86" spans="1:19" x14ac:dyDescent="0.25">
      <c r="A86" s="7"/>
      <c r="B86" s="74"/>
      <c r="C86" s="75"/>
      <c r="D86" s="75"/>
      <c r="E86" s="75"/>
      <c r="F86" s="75"/>
      <c r="G86" s="75"/>
      <c r="H86" s="75"/>
      <c r="I86" s="75"/>
      <c r="J86" s="75"/>
      <c r="K86" s="75"/>
      <c r="L86" s="58"/>
      <c r="M86" s="10"/>
    </row>
    <row r="87" spans="1:19" s="11" customFormat="1" x14ac:dyDescent="0.25">
      <c r="A87" s="8"/>
      <c r="B87" s="663"/>
      <c r="C87" s="664"/>
      <c r="D87" s="664"/>
      <c r="E87" s="664"/>
      <c r="F87" s="664"/>
      <c r="G87" s="664"/>
      <c r="H87" s="664"/>
      <c r="I87" s="664"/>
      <c r="J87" s="664"/>
      <c r="K87" s="664"/>
      <c r="L87" s="665"/>
      <c r="M87" s="38"/>
      <c r="Q87" s="10"/>
    </row>
    <row r="88" spans="1:19" s="11" customFormat="1" x14ac:dyDescent="0.25">
      <c r="A88" s="8"/>
      <c r="B88" s="663"/>
      <c r="C88" s="664"/>
      <c r="D88" s="664"/>
      <c r="E88" s="664"/>
      <c r="F88" s="664"/>
      <c r="G88" s="664"/>
      <c r="H88" s="664"/>
      <c r="I88" s="664"/>
      <c r="J88" s="664"/>
      <c r="K88" s="664"/>
      <c r="L88" s="665"/>
      <c r="M88" s="38"/>
      <c r="Q88" s="10"/>
    </row>
    <row r="89" spans="1:19" s="11" customFormat="1" x14ac:dyDescent="0.25">
      <c r="A89" s="8"/>
      <c r="B89" s="663"/>
      <c r="C89" s="664"/>
      <c r="D89" s="664"/>
      <c r="E89" s="664"/>
      <c r="F89" s="664"/>
      <c r="G89" s="664"/>
      <c r="H89" s="664"/>
      <c r="I89" s="664"/>
      <c r="J89" s="664"/>
      <c r="K89" s="664"/>
      <c r="L89" s="665"/>
      <c r="M89" s="38"/>
      <c r="Q89" s="10"/>
    </row>
    <row r="90" spans="1:19" s="11" customFormat="1" x14ac:dyDescent="0.25">
      <c r="A90" s="8"/>
      <c r="B90" s="663"/>
      <c r="C90" s="664"/>
      <c r="D90" s="664"/>
      <c r="E90" s="664"/>
      <c r="F90" s="664"/>
      <c r="G90" s="664"/>
      <c r="H90" s="664"/>
      <c r="I90" s="664"/>
      <c r="J90" s="664"/>
      <c r="K90" s="664"/>
      <c r="L90" s="665"/>
      <c r="M90" s="38"/>
      <c r="Q90" s="10"/>
    </row>
    <row r="91" spans="1:19" s="11" customFormat="1" x14ac:dyDescent="0.25">
      <c r="A91" s="8"/>
      <c r="B91" s="663"/>
      <c r="C91" s="664"/>
      <c r="D91" s="664"/>
      <c r="E91" s="664"/>
      <c r="F91" s="664"/>
      <c r="G91" s="664"/>
      <c r="H91" s="664"/>
      <c r="I91" s="664"/>
      <c r="J91" s="664"/>
      <c r="K91" s="664"/>
      <c r="L91" s="665"/>
      <c r="M91" s="38"/>
      <c r="Q91" s="10"/>
    </row>
    <row r="92" spans="1:19" s="11" customFormat="1" x14ac:dyDescent="0.25">
      <c r="A92" s="8"/>
      <c r="B92" s="663"/>
      <c r="C92" s="664"/>
      <c r="D92" s="664"/>
      <c r="E92" s="664"/>
      <c r="F92" s="664"/>
      <c r="G92" s="664"/>
      <c r="H92" s="664"/>
      <c r="I92" s="664"/>
      <c r="J92" s="664"/>
      <c r="K92" s="664"/>
      <c r="L92" s="665"/>
      <c r="M92" s="38"/>
      <c r="Q92" s="10"/>
    </row>
    <row r="93" spans="1:19" s="11" customFormat="1" x14ac:dyDescent="0.25">
      <c r="A93" s="8"/>
      <c r="B93" s="663"/>
      <c r="C93" s="664"/>
      <c r="D93" s="664"/>
      <c r="E93" s="664"/>
      <c r="F93" s="664"/>
      <c r="G93" s="664"/>
      <c r="H93" s="664"/>
      <c r="I93" s="664"/>
      <c r="J93" s="664"/>
      <c r="K93" s="664"/>
      <c r="L93" s="665"/>
      <c r="M93" s="38"/>
      <c r="Q93" s="10"/>
    </row>
    <row r="94" spans="1:19" s="11" customFormat="1" x14ac:dyDescent="0.25">
      <c r="A94" s="8"/>
      <c r="B94" s="663"/>
      <c r="C94" s="664"/>
      <c r="D94" s="664"/>
      <c r="E94" s="664"/>
      <c r="F94" s="664"/>
      <c r="G94" s="664"/>
      <c r="H94" s="664"/>
      <c r="I94" s="664"/>
      <c r="J94" s="664"/>
      <c r="K94" s="664"/>
      <c r="L94" s="665"/>
      <c r="M94" s="38"/>
      <c r="Q94" s="10"/>
    </row>
    <row r="95" spans="1:19" x14ac:dyDescent="0.25">
      <c r="A95" s="7"/>
      <c r="B95" s="72"/>
      <c r="C95" s="69"/>
      <c r="D95" s="69"/>
      <c r="E95" s="69"/>
      <c r="F95" s="69"/>
      <c r="G95" s="69"/>
      <c r="H95" s="69"/>
      <c r="I95" s="69"/>
      <c r="J95" s="69"/>
      <c r="K95" s="69"/>
      <c r="L95" s="70"/>
      <c r="M95" s="10"/>
    </row>
    <row r="96" spans="1:19" s="11" customFormat="1" x14ac:dyDescent="0.25">
      <c r="A96" s="7"/>
      <c r="B96" s="89"/>
      <c r="C96" s="89"/>
      <c r="D96" s="89"/>
      <c r="E96" s="90"/>
      <c r="F96" s="90"/>
      <c r="G96" s="90"/>
      <c r="H96" s="90"/>
      <c r="I96" s="90"/>
      <c r="J96" s="90"/>
      <c r="K96" s="90"/>
      <c r="L96" s="90"/>
      <c r="M96" s="73"/>
    </row>
    <row r="97" spans="1:16" x14ac:dyDescent="0.25">
      <c r="A97" s="7"/>
      <c r="B97" s="533" t="str">
        <f>UPPER(IF(Intro!$G$20="English",O97,P97))</f>
        <v>VENTES RÉGIONALES</v>
      </c>
      <c r="C97" s="534"/>
      <c r="D97" s="534"/>
      <c r="E97" s="534"/>
      <c r="F97" s="534"/>
      <c r="G97" s="534"/>
      <c r="H97" s="534"/>
      <c r="I97" s="534"/>
      <c r="J97" s="534"/>
      <c r="K97" s="534"/>
      <c r="L97" s="535"/>
      <c r="M97" s="10"/>
      <c r="O97" s="10" t="s">
        <v>151</v>
      </c>
      <c r="P97" s="10" t="s">
        <v>152</v>
      </c>
    </row>
    <row r="98" spans="1:16" x14ac:dyDescent="0.25">
      <c r="A98" s="7"/>
      <c r="B98" s="671" t="s">
        <v>19</v>
      </c>
      <c r="C98" s="672"/>
      <c r="D98" s="672"/>
      <c r="E98" s="672"/>
      <c r="F98" s="672"/>
      <c r="G98" s="672"/>
      <c r="H98" s="672"/>
      <c r="I98" s="672"/>
      <c r="J98" s="672"/>
      <c r="K98" s="672"/>
      <c r="L98" s="673"/>
      <c r="M98" s="10"/>
    </row>
    <row r="99" spans="1:16" x14ac:dyDescent="0.25">
      <c r="A99" s="7"/>
      <c r="B99" s="16"/>
      <c r="C99" s="35"/>
      <c r="D99" s="35"/>
      <c r="E99" s="36"/>
      <c r="F99" s="36"/>
      <c r="G99" s="36"/>
      <c r="H99" s="36"/>
      <c r="I99" s="36"/>
      <c r="J99" s="36"/>
      <c r="K99" s="36"/>
      <c r="L99" s="17"/>
      <c r="M99" s="10"/>
    </row>
    <row r="100" spans="1:16" x14ac:dyDescent="0.25">
      <c r="A100" s="7"/>
      <c r="B100" s="530" t="str">
        <f>IF(Intro!$G$20="English",O100,P100)</f>
        <v>Fournissez la répartition régionale du volume des ventes d'importations de marchandises par votre entreprise.</v>
      </c>
      <c r="C100" s="531"/>
      <c r="D100" s="531"/>
      <c r="E100" s="531"/>
      <c r="F100" s="531"/>
      <c r="G100" s="531"/>
      <c r="H100" s="531"/>
      <c r="I100" s="531"/>
      <c r="J100" s="531"/>
      <c r="K100" s="531"/>
      <c r="L100" s="532"/>
      <c r="M100" s="10"/>
      <c r="O100" s="18" t="s">
        <v>223</v>
      </c>
      <c r="P100" s="10" t="s">
        <v>166</v>
      </c>
    </row>
    <row r="101" spans="1:16" x14ac:dyDescent="0.25">
      <c r="A101" s="7"/>
      <c r="B101" s="530" t="str">
        <f>B22</f>
        <v>Note - Ne répondez à cette question que si votre entreprise a vendu les marchandises du 1er janvier 2023 au 31 mars 2026.</v>
      </c>
      <c r="C101" s="531"/>
      <c r="D101" s="531"/>
      <c r="E101" s="531"/>
      <c r="F101" s="531"/>
      <c r="G101" s="531"/>
      <c r="H101" s="531"/>
      <c r="I101" s="531"/>
      <c r="J101" s="531"/>
      <c r="K101" s="531"/>
      <c r="L101" s="532"/>
      <c r="M101" s="10"/>
      <c r="O101" s="18"/>
    </row>
    <row r="102" spans="1:16" x14ac:dyDescent="0.25">
      <c r="A102" s="7"/>
      <c r="B102" s="61"/>
      <c r="C102" s="62"/>
      <c r="D102" s="35"/>
      <c r="E102" s="36"/>
      <c r="F102" s="36"/>
      <c r="G102" s="36"/>
      <c r="H102" s="36"/>
      <c r="I102" s="36"/>
      <c r="J102" s="36"/>
      <c r="K102" s="36"/>
      <c r="L102" s="17"/>
      <c r="M102" s="10"/>
      <c r="O102" s="18"/>
    </row>
    <row r="103" spans="1:16" x14ac:dyDescent="0.25">
      <c r="A103" s="7"/>
      <c r="B103" s="61"/>
      <c r="C103" s="62"/>
      <c r="F103" s="35"/>
      <c r="G103" s="724">
        <f>Variables!$B$6</f>
        <v>2023</v>
      </c>
      <c r="H103" s="724">
        <f>G103+1</f>
        <v>2024</v>
      </c>
      <c r="I103" s="724">
        <f>H103+1</f>
        <v>2025</v>
      </c>
      <c r="J103" s="724" t="str">
        <f>IF(Intro!$G$20="English",Variables!B9,Variables!C9)</f>
        <v>janv.-mars 2025</v>
      </c>
      <c r="K103" s="724" t="str">
        <f>IF(Intro!$G$20="English",Variables!B10,Variables!C10)</f>
        <v>janv.-mars 2026</v>
      </c>
      <c r="L103" s="71"/>
      <c r="M103" s="10"/>
      <c r="O103" s="18"/>
    </row>
    <row r="104" spans="1:16" x14ac:dyDescent="0.25">
      <c r="A104" s="7"/>
      <c r="B104" s="113"/>
      <c r="C104" s="114"/>
      <c r="F104" s="35"/>
      <c r="G104" s="724"/>
      <c r="H104" s="724"/>
      <c r="I104" s="724"/>
      <c r="J104" s="724"/>
      <c r="K104" s="724"/>
      <c r="L104" s="71"/>
      <c r="M104" s="10"/>
      <c r="O104" s="18"/>
    </row>
    <row r="105" spans="1:16" x14ac:dyDescent="0.25">
      <c r="A105" s="7"/>
      <c r="B105" s="713" t="str">
        <f>IF(Intro!$G$20="English",O105,P105)</f>
        <v>Provinces de l’Atlantique</v>
      </c>
      <c r="C105" s="715"/>
      <c r="D105" s="715"/>
      <c r="E105" s="715"/>
      <c r="F105" s="126" t="s">
        <v>123</v>
      </c>
      <c r="G105" s="189"/>
      <c r="H105" s="189"/>
      <c r="I105" s="189"/>
      <c r="J105" s="189"/>
      <c r="K105" s="189"/>
      <c r="L105" s="71"/>
      <c r="M105" s="10"/>
      <c r="O105" s="10" t="s">
        <v>34</v>
      </c>
      <c r="P105" s="10" t="s">
        <v>35</v>
      </c>
    </row>
    <row r="106" spans="1:16" x14ac:dyDescent="0.25">
      <c r="A106" s="7"/>
      <c r="B106" s="713" t="str">
        <f>IF(Intro!$G$20="English",O106,P106)</f>
        <v>Québec et Ontario</v>
      </c>
      <c r="C106" s="714"/>
      <c r="D106" s="714"/>
      <c r="E106" s="714"/>
      <c r="F106" s="126" t="s">
        <v>123</v>
      </c>
      <c r="G106" s="189"/>
      <c r="H106" s="189"/>
      <c r="I106" s="189"/>
      <c r="J106" s="189"/>
      <c r="K106" s="189"/>
      <c r="L106" s="71"/>
      <c r="M106" s="10"/>
      <c r="O106" s="10" t="s">
        <v>36</v>
      </c>
      <c r="P106" s="10" t="s">
        <v>37</v>
      </c>
    </row>
    <row r="107" spans="1:16" x14ac:dyDescent="0.25">
      <c r="A107" s="7"/>
      <c r="B107" s="713" t="str">
        <f>IF(Intro!$G$20="English",O107,P107)</f>
        <v xml:space="preserve">Manitoba et Saskatchewan </v>
      </c>
      <c r="C107" s="714"/>
      <c r="D107" s="714"/>
      <c r="E107" s="714"/>
      <c r="F107" s="126" t="s">
        <v>123</v>
      </c>
      <c r="G107" s="189"/>
      <c r="H107" s="189"/>
      <c r="I107" s="189"/>
      <c r="J107" s="189"/>
      <c r="K107" s="189"/>
      <c r="L107" s="71"/>
      <c r="M107" s="10"/>
      <c r="O107" s="10" t="s">
        <v>38</v>
      </c>
      <c r="P107" s="10" t="s">
        <v>43</v>
      </c>
    </row>
    <row r="108" spans="1:16" x14ac:dyDescent="0.25">
      <c r="A108" s="7"/>
      <c r="B108" s="713" t="str">
        <f>IF(Intro!$G$20="English",O108,P108)</f>
        <v>Alberta et Colombie-Britannique</v>
      </c>
      <c r="C108" s="714"/>
      <c r="D108" s="714"/>
      <c r="E108" s="714"/>
      <c r="F108" s="126" t="s">
        <v>123</v>
      </c>
      <c r="G108" s="189"/>
      <c r="H108" s="189"/>
      <c r="I108" s="189"/>
      <c r="J108" s="189"/>
      <c r="K108" s="189"/>
      <c r="L108" s="71"/>
      <c r="M108" s="10"/>
      <c r="O108" s="10" t="s">
        <v>39</v>
      </c>
      <c r="P108" s="10" t="s">
        <v>40</v>
      </c>
    </row>
    <row r="109" spans="1:16" x14ac:dyDescent="0.25">
      <c r="A109" s="7"/>
      <c r="B109" s="713" t="str">
        <f>IF(Intro!$G$20="English",O109,P109)</f>
        <v>Nunavut, Yukon et Territoires du Nord-Ouest</v>
      </c>
      <c r="C109" s="714"/>
      <c r="D109" s="714"/>
      <c r="E109" s="714"/>
      <c r="F109" s="126" t="s">
        <v>123</v>
      </c>
      <c r="G109" s="189"/>
      <c r="H109" s="189"/>
      <c r="I109" s="189"/>
      <c r="J109" s="189"/>
      <c r="K109" s="189"/>
      <c r="L109" s="71"/>
      <c r="M109" s="10"/>
      <c r="O109" s="10" t="s">
        <v>41</v>
      </c>
      <c r="P109" s="10" t="s">
        <v>42</v>
      </c>
    </row>
    <row r="110" spans="1:16" s="11" customFormat="1" x14ac:dyDescent="0.25">
      <c r="A110" s="32"/>
      <c r="B110" s="713" t="str">
        <f>IF(Intro!$G$20="English",O110,P110)</f>
        <v>Non Imputé</v>
      </c>
      <c r="C110" s="714"/>
      <c r="D110" s="714"/>
      <c r="E110" s="714"/>
      <c r="F110" s="126" t="s">
        <v>123</v>
      </c>
      <c r="G110" s="190">
        <f>100-SUM(G105:G109)</f>
        <v>100</v>
      </c>
      <c r="H110" s="190">
        <f t="shared" ref="H110:I110" si="0">100-SUM(H105:H109)</f>
        <v>100</v>
      </c>
      <c r="I110" s="190">
        <f t="shared" si="0"/>
        <v>100</v>
      </c>
      <c r="J110" s="190">
        <f t="shared" ref="J110:K110" si="1">100-SUM(J105:J109)</f>
        <v>100</v>
      </c>
      <c r="K110" s="190">
        <f t="shared" si="1"/>
        <v>100</v>
      </c>
      <c r="L110" s="71"/>
      <c r="O110" s="11" t="s">
        <v>222</v>
      </c>
      <c r="P110" s="11" t="s">
        <v>248</v>
      </c>
    </row>
    <row r="111" spans="1:16" x14ac:dyDescent="0.25">
      <c r="A111" s="7"/>
      <c r="B111" s="72"/>
      <c r="C111" s="69"/>
      <c r="D111" s="69"/>
      <c r="E111" s="69"/>
      <c r="F111" s="69"/>
      <c r="G111" s="69"/>
      <c r="H111" s="69"/>
      <c r="I111" s="69"/>
      <c r="J111" s="69"/>
      <c r="K111" s="69"/>
      <c r="L111" s="70"/>
      <c r="M111" s="10"/>
    </row>
    <row r="112" spans="1:16" x14ac:dyDescent="0.25">
      <c r="A112" s="7"/>
      <c r="B112" s="40"/>
      <c r="C112" s="40"/>
      <c r="D112" s="40"/>
      <c r="E112" s="40"/>
      <c r="F112" s="40"/>
      <c r="G112" s="40"/>
      <c r="H112" s="40"/>
      <c r="I112" s="40"/>
      <c r="J112" s="40"/>
      <c r="K112" s="40"/>
      <c r="L112" s="40"/>
      <c r="M112" s="10"/>
    </row>
    <row r="113" spans="1:16" x14ac:dyDescent="0.25">
      <c r="A113" s="7"/>
      <c r="B113" s="533" t="str">
        <f>UPPER(IF(Intro!$G$20="English",O113,P113))</f>
        <v>VENTES D'IMPORTATIONS AU CANADA À VOS CINQ PLUS IMPORTANTS CLIENTS</v>
      </c>
      <c r="C113" s="534"/>
      <c r="D113" s="534"/>
      <c r="E113" s="534"/>
      <c r="F113" s="534"/>
      <c r="G113" s="534"/>
      <c r="H113" s="534"/>
      <c r="I113" s="534"/>
      <c r="J113" s="534"/>
      <c r="K113" s="534"/>
      <c r="L113" s="535"/>
      <c r="M113" s="10"/>
      <c r="O113" s="10" t="s">
        <v>206</v>
      </c>
      <c r="P113" s="10" t="s">
        <v>207</v>
      </c>
    </row>
    <row r="114" spans="1:16" x14ac:dyDescent="0.25">
      <c r="A114" s="7"/>
      <c r="B114" s="671" t="s">
        <v>20</v>
      </c>
      <c r="C114" s="672"/>
      <c r="D114" s="672"/>
      <c r="E114" s="672"/>
      <c r="F114" s="672"/>
      <c r="G114" s="672"/>
      <c r="H114" s="672"/>
      <c r="I114" s="672"/>
      <c r="J114" s="672"/>
      <c r="K114" s="672"/>
      <c r="L114" s="673"/>
      <c r="M114" s="10"/>
    </row>
    <row r="115" spans="1:16" x14ac:dyDescent="0.25">
      <c r="A115" s="7"/>
      <c r="B115" s="16"/>
      <c r="C115" s="35"/>
      <c r="D115" s="35"/>
      <c r="E115" s="36"/>
      <c r="F115" s="36"/>
      <c r="G115" s="36"/>
      <c r="H115" s="36"/>
      <c r="I115" s="36"/>
      <c r="J115" s="36"/>
      <c r="K115" s="36"/>
      <c r="L115" s="17"/>
      <c r="M115" s="10"/>
    </row>
    <row r="116" spans="1:16" x14ac:dyDescent="0.25">
      <c r="A116" s="7"/>
      <c r="B116" s="530" t="str">
        <f>IF(Intro!$G$20="English",O116,P116)</f>
        <v>Identifiez les cinq plus grands comptes de votre entreprise pour les ventes d’importations de marchandises au Canada, depuis T2 - 2024.</v>
      </c>
      <c r="C116" s="531"/>
      <c r="D116" s="531"/>
      <c r="E116" s="531"/>
      <c r="F116" s="531"/>
      <c r="G116" s="531"/>
      <c r="H116" s="531"/>
      <c r="I116" s="531"/>
      <c r="J116" s="531"/>
      <c r="K116" s="531"/>
      <c r="L116" s="532"/>
      <c r="M116" s="10"/>
      <c r="O116" s="18" t="str">
        <f>"Identify your firm's five largest accounts for sales of the imports of the goods in Canada, by volume since "&amp;'Imp-Aus'!E55&amp;"."</f>
        <v>Identify your firm's five largest accounts for sales of the imports of the goods in Canada, by volume since T2 - 2024.</v>
      </c>
      <c r="P116" s="10" t="str">
        <f>"Identifiez les cinq plus grands comptes de votre entreprise pour les ventes d’importations de marchandises au Canada, depuis "&amp;'Imp-Aus'!E55&amp;"."</f>
        <v>Identifiez les cinq plus grands comptes de votre entreprise pour les ventes d’importations de marchandises au Canada, depuis T2 - 2024.</v>
      </c>
    </row>
    <row r="117" spans="1:16" x14ac:dyDescent="0.25">
      <c r="A117" s="7"/>
      <c r="B117" s="530" t="str">
        <f>B22</f>
        <v>Note - Ne répondez à cette question que si votre entreprise a vendu les marchandises du 1er janvier 2023 au 31 mars 2026.</v>
      </c>
      <c r="C117" s="531"/>
      <c r="D117" s="531"/>
      <c r="E117" s="531"/>
      <c r="F117" s="531"/>
      <c r="G117" s="531"/>
      <c r="H117" s="531"/>
      <c r="I117" s="531"/>
      <c r="J117" s="531"/>
      <c r="K117" s="531"/>
      <c r="L117" s="532"/>
      <c r="M117" s="10"/>
      <c r="O117" s="18"/>
    </row>
    <row r="118" spans="1:16" x14ac:dyDescent="0.25">
      <c r="A118" s="7"/>
      <c r="B118" s="61"/>
      <c r="C118" s="62"/>
      <c r="D118" s="35"/>
      <c r="E118" s="36"/>
      <c r="F118" s="36"/>
      <c r="G118" s="36"/>
      <c r="H118" s="36"/>
      <c r="I118" s="36"/>
      <c r="J118" s="36"/>
      <c r="K118" s="36"/>
      <c r="L118" s="17"/>
      <c r="M118" s="10"/>
      <c r="O118" s="18"/>
    </row>
    <row r="119" spans="1:16" x14ac:dyDescent="0.25">
      <c r="A119" s="7"/>
      <c r="B119" s="119" t="str">
        <f>IF(Intro!$G$20="English",O119,P119)</f>
        <v>Client 1</v>
      </c>
      <c r="C119" s="702"/>
      <c r="D119" s="725"/>
      <c r="E119" s="725"/>
      <c r="F119" s="725"/>
      <c r="G119" s="725"/>
      <c r="H119" s="725"/>
      <c r="I119" s="725"/>
      <c r="J119" s="725"/>
      <c r="K119" s="725"/>
      <c r="L119" s="725"/>
      <c r="M119" s="10"/>
      <c r="O119" s="18" t="s">
        <v>45</v>
      </c>
      <c r="P119" s="10" t="s">
        <v>46</v>
      </c>
    </row>
    <row r="120" spans="1:16" x14ac:dyDescent="0.25">
      <c r="A120" s="7"/>
      <c r="B120" s="119" t="str">
        <f>IF(Intro!$G$20="English",O120,P120)</f>
        <v>Client 2</v>
      </c>
      <c r="C120" s="702"/>
      <c r="D120" s="725"/>
      <c r="E120" s="725"/>
      <c r="F120" s="725"/>
      <c r="G120" s="725"/>
      <c r="H120" s="725"/>
      <c r="I120" s="725"/>
      <c r="J120" s="725"/>
      <c r="K120" s="725"/>
      <c r="L120" s="725"/>
      <c r="M120" s="10"/>
      <c r="O120" s="18" t="s">
        <v>47</v>
      </c>
      <c r="P120" s="10" t="s">
        <v>48</v>
      </c>
    </row>
    <row r="121" spans="1:16" x14ac:dyDescent="0.25">
      <c r="A121" s="7"/>
      <c r="B121" s="119" t="str">
        <f>IF(Intro!$G$20="English",O121,P121)</f>
        <v>Client 3</v>
      </c>
      <c r="C121" s="702"/>
      <c r="D121" s="725"/>
      <c r="E121" s="725"/>
      <c r="F121" s="725"/>
      <c r="G121" s="725"/>
      <c r="H121" s="725"/>
      <c r="I121" s="725"/>
      <c r="J121" s="725"/>
      <c r="K121" s="725"/>
      <c r="L121" s="725"/>
      <c r="M121" s="10"/>
      <c r="O121" s="18" t="s">
        <v>49</v>
      </c>
      <c r="P121" s="10" t="s">
        <v>50</v>
      </c>
    </row>
    <row r="122" spans="1:16" x14ac:dyDescent="0.25">
      <c r="A122" s="7"/>
      <c r="B122" s="119" t="str">
        <f>IF(Intro!$G$20="English",O122,P122)</f>
        <v>Client 4</v>
      </c>
      <c r="C122" s="702"/>
      <c r="D122" s="725"/>
      <c r="E122" s="725"/>
      <c r="F122" s="725"/>
      <c r="G122" s="725"/>
      <c r="H122" s="725"/>
      <c r="I122" s="725"/>
      <c r="J122" s="725"/>
      <c r="K122" s="725"/>
      <c r="L122" s="725"/>
      <c r="M122" s="10"/>
      <c r="O122" s="18" t="s">
        <v>51</v>
      </c>
      <c r="P122" s="10" t="s">
        <v>52</v>
      </c>
    </row>
    <row r="123" spans="1:16" x14ac:dyDescent="0.25">
      <c r="A123" s="7"/>
      <c r="B123" s="119" t="str">
        <f>IF(Intro!$G$20="English",O123,P123)</f>
        <v>Client 5</v>
      </c>
      <c r="C123" s="702"/>
      <c r="D123" s="725"/>
      <c r="E123" s="725"/>
      <c r="F123" s="725"/>
      <c r="G123" s="725"/>
      <c r="H123" s="725"/>
      <c r="I123" s="725"/>
      <c r="J123" s="725"/>
      <c r="K123" s="725"/>
      <c r="L123" s="725"/>
      <c r="M123" s="10"/>
      <c r="O123" s="18" t="s">
        <v>53</v>
      </c>
      <c r="P123" s="10" t="s">
        <v>54</v>
      </c>
    </row>
    <row r="124" spans="1:16" x14ac:dyDescent="0.25">
      <c r="A124" s="7"/>
      <c r="B124" s="46"/>
      <c r="C124" s="115"/>
      <c r="D124" s="128"/>
      <c r="E124" s="129"/>
      <c r="F124" s="129"/>
      <c r="G124" s="129"/>
      <c r="H124" s="129"/>
      <c r="I124" s="129"/>
      <c r="J124" s="129"/>
      <c r="K124" s="129"/>
      <c r="L124" s="130"/>
      <c r="M124" s="10"/>
      <c r="O124" s="18"/>
    </row>
    <row r="125" spans="1:16" x14ac:dyDescent="0.25">
      <c r="A125" s="7"/>
      <c r="B125" s="40"/>
      <c r="C125" s="40"/>
      <c r="D125" s="40"/>
      <c r="E125" s="40"/>
      <c r="F125" s="40"/>
      <c r="G125" s="40"/>
      <c r="H125" s="40"/>
      <c r="I125" s="40"/>
      <c r="J125" s="40"/>
      <c r="K125" s="40"/>
      <c r="L125" s="40"/>
      <c r="M125" s="10"/>
    </row>
    <row r="126" spans="1:16" x14ac:dyDescent="0.25">
      <c r="A126" s="7"/>
      <c r="B126" s="533" t="str">
        <f>UPPER(IF(Intro!$G$20="English",O126,P126))</f>
        <v>PLANS</v>
      </c>
      <c r="C126" s="534"/>
      <c r="D126" s="534"/>
      <c r="E126" s="534"/>
      <c r="F126" s="534"/>
      <c r="G126" s="534"/>
      <c r="H126" s="534"/>
      <c r="I126" s="534"/>
      <c r="J126" s="534"/>
      <c r="K126" s="534"/>
      <c r="L126" s="535"/>
      <c r="M126" s="10"/>
      <c r="O126" s="10" t="s">
        <v>278</v>
      </c>
      <c r="P126" s="10" t="s">
        <v>278</v>
      </c>
    </row>
    <row r="127" spans="1:16" s="11" customFormat="1" x14ac:dyDescent="0.25">
      <c r="A127" s="8"/>
      <c r="B127" s="674" t="s">
        <v>21</v>
      </c>
      <c r="C127" s="675"/>
      <c r="D127" s="675"/>
      <c r="E127" s="675"/>
      <c r="F127" s="675"/>
      <c r="G127" s="675"/>
      <c r="H127" s="675"/>
      <c r="I127" s="675"/>
      <c r="J127" s="675"/>
      <c r="K127" s="675"/>
      <c r="L127" s="676"/>
      <c r="M127" s="73"/>
    </row>
    <row r="128" spans="1:16" x14ac:dyDescent="0.25">
      <c r="B128" s="74"/>
      <c r="C128" s="75"/>
      <c r="D128" s="40"/>
      <c r="E128" s="40"/>
      <c r="F128" s="40"/>
      <c r="G128" s="40"/>
      <c r="H128" s="40"/>
      <c r="I128" s="40"/>
      <c r="J128" s="40"/>
      <c r="K128" s="40"/>
      <c r="L128" s="58"/>
      <c r="M128" s="10"/>
    </row>
    <row r="129" spans="1:17" ht="14.1" customHeight="1" x14ac:dyDescent="0.25">
      <c r="B129" s="527" t="str">
        <f>IF(Intro!$G$20="English",O129,P129)</f>
        <v>Fournissez les stratégies et les objectifs de votre entreprise pour les deux prochaines années en ce qui concerne les achats de marchandises fabriquées au Canada. Fournir la justification et les hypothèses qui sous-tendent ces stratégies et objectifs.</v>
      </c>
      <c r="C129" s="528"/>
      <c r="D129" s="528"/>
      <c r="E129" s="528"/>
      <c r="F129" s="528"/>
      <c r="G129" s="528"/>
      <c r="H129" s="528"/>
      <c r="I129" s="528"/>
      <c r="J129" s="528"/>
      <c r="K129" s="528"/>
      <c r="L129" s="529"/>
      <c r="M129" s="10"/>
      <c r="O129" s="10" t="s">
        <v>277</v>
      </c>
      <c r="P129" s="10" t="s">
        <v>226</v>
      </c>
    </row>
    <row r="130" spans="1:17" x14ac:dyDescent="0.25">
      <c r="B130" s="527"/>
      <c r="C130" s="528"/>
      <c r="D130" s="528"/>
      <c r="E130" s="528"/>
      <c r="F130" s="528"/>
      <c r="G130" s="528"/>
      <c r="H130" s="528"/>
      <c r="I130" s="528"/>
      <c r="J130" s="528"/>
      <c r="K130" s="528"/>
      <c r="L130" s="529"/>
      <c r="M130" s="10"/>
    </row>
    <row r="131" spans="1:17" x14ac:dyDescent="0.25">
      <c r="B131" s="74"/>
      <c r="C131" s="75"/>
      <c r="D131" s="40"/>
      <c r="E131" s="40"/>
      <c r="F131" s="40"/>
      <c r="G131" s="40"/>
      <c r="H131" s="40"/>
      <c r="I131" s="40"/>
      <c r="J131" s="40"/>
      <c r="K131" s="40"/>
      <c r="L131" s="58"/>
      <c r="M131" s="10"/>
    </row>
    <row r="132" spans="1:17" s="11" customFormat="1" x14ac:dyDescent="0.25">
      <c r="A132" s="8"/>
      <c r="B132" s="663"/>
      <c r="C132" s="664"/>
      <c r="D132" s="664"/>
      <c r="E132" s="664"/>
      <c r="F132" s="664"/>
      <c r="G132" s="664"/>
      <c r="H132" s="664"/>
      <c r="I132" s="664"/>
      <c r="J132" s="664"/>
      <c r="K132" s="664"/>
      <c r="L132" s="665"/>
      <c r="M132" s="38"/>
      <c r="Q132" s="10"/>
    </row>
    <row r="133" spans="1:17" s="11" customFormat="1" x14ac:dyDescent="0.25">
      <c r="A133" s="8"/>
      <c r="B133" s="663"/>
      <c r="C133" s="664"/>
      <c r="D133" s="664"/>
      <c r="E133" s="664"/>
      <c r="F133" s="664"/>
      <c r="G133" s="664"/>
      <c r="H133" s="664"/>
      <c r="I133" s="664"/>
      <c r="J133" s="664"/>
      <c r="K133" s="664"/>
      <c r="L133" s="665"/>
      <c r="M133" s="38"/>
      <c r="Q133" s="10"/>
    </row>
    <row r="134" spans="1:17" s="11" customFormat="1" x14ac:dyDescent="0.25">
      <c r="A134" s="8"/>
      <c r="B134" s="663"/>
      <c r="C134" s="664"/>
      <c r="D134" s="664"/>
      <c r="E134" s="664"/>
      <c r="F134" s="664"/>
      <c r="G134" s="664"/>
      <c r="H134" s="664"/>
      <c r="I134" s="664"/>
      <c r="J134" s="664"/>
      <c r="K134" s="664"/>
      <c r="L134" s="665"/>
      <c r="M134" s="38"/>
      <c r="Q134" s="10"/>
    </row>
    <row r="135" spans="1:17" s="11" customFormat="1" x14ac:dyDescent="0.25">
      <c r="A135" s="8"/>
      <c r="B135" s="663"/>
      <c r="C135" s="664"/>
      <c r="D135" s="664"/>
      <c r="E135" s="664"/>
      <c r="F135" s="664"/>
      <c r="G135" s="664"/>
      <c r="H135" s="664"/>
      <c r="I135" s="664"/>
      <c r="J135" s="664"/>
      <c r="K135" s="664"/>
      <c r="L135" s="665"/>
      <c r="M135" s="38"/>
      <c r="Q135" s="10"/>
    </row>
    <row r="136" spans="1:17" s="11" customFormat="1" x14ac:dyDescent="0.25">
      <c r="A136" s="8"/>
      <c r="B136" s="663"/>
      <c r="C136" s="664"/>
      <c r="D136" s="664"/>
      <c r="E136" s="664"/>
      <c r="F136" s="664"/>
      <c r="G136" s="664"/>
      <c r="H136" s="664"/>
      <c r="I136" s="664"/>
      <c r="J136" s="664"/>
      <c r="K136" s="664"/>
      <c r="L136" s="665"/>
      <c r="M136" s="38"/>
      <c r="Q136" s="10"/>
    </row>
    <row r="137" spans="1:17" s="11" customFormat="1" x14ac:dyDescent="0.25">
      <c r="A137" s="8"/>
      <c r="B137" s="663"/>
      <c r="C137" s="664"/>
      <c r="D137" s="664"/>
      <c r="E137" s="664"/>
      <c r="F137" s="664"/>
      <c r="G137" s="664"/>
      <c r="H137" s="664"/>
      <c r="I137" s="664"/>
      <c r="J137" s="664"/>
      <c r="K137" s="664"/>
      <c r="L137" s="665"/>
      <c r="M137" s="38"/>
      <c r="Q137" s="10"/>
    </row>
    <row r="138" spans="1:17" s="11" customFormat="1" x14ac:dyDescent="0.25">
      <c r="A138" s="8"/>
      <c r="B138" s="663"/>
      <c r="C138" s="664"/>
      <c r="D138" s="664"/>
      <c r="E138" s="664"/>
      <c r="F138" s="664"/>
      <c r="G138" s="664"/>
      <c r="H138" s="664"/>
      <c r="I138" s="664"/>
      <c r="J138" s="664"/>
      <c r="K138" s="664"/>
      <c r="L138" s="665"/>
      <c r="M138" s="38"/>
      <c r="Q138" s="10"/>
    </row>
    <row r="139" spans="1:17" s="11" customFormat="1" x14ac:dyDescent="0.25">
      <c r="A139" s="8"/>
      <c r="B139" s="663"/>
      <c r="C139" s="664"/>
      <c r="D139" s="664"/>
      <c r="E139" s="664"/>
      <c r="F139" s="664"/>
      <c r="G139" s="664"/>
      <c r="H139" s="664"/>
      <c r="I139" s="664"/>
      <c r="J139" s="664"/>
      <c r="K139" s="664"/>
      <c r="L139" s="665"/>
      <c r="M139" s="38"/>
      <c r="Q139" s="10"/>
    </row>
    <row r="140" spans="1:17" x14ac:dyDescent="0.25">
      <c r="B140" s="72"/>
      <c r="C140" s="69"/>
      <c r="D140" s="69"/>
      <c r="E140" s="69"/>
      <c r="F140" s="69"/>
      <c r="G140" s="69"/>
      <c r="H140" s="69"/>
      <c r="I140" s="69"/>
      <c r="J140" s="69"/>
      <c r="K140" s="69"/>
      <c r="L140" s="70"/>
      <c r="M140" s="10"/>
    </row>
    <row r="141" spans="1:17" s="11" customFormat="1" x14ac:dyDescent="0.25">
      <c r="A141" s="8"/>
      <c r="B141" s="674" t="s">
        <v>22</v>
      </c>
      <c r="C141" s="675"/>
      <c r="D141" s="675"/>
      <c r="E141" s="675"/>
      <c r="F141" s="675"/>
      <c r="G141" s="675"/>
      <c r="H141" s="675"/>
      <c r="I141" s="675"/>
      <c r="J141" s="675"/>
      <c r="K141" s="675"/>
      <c r="L141" s="676"/>
      <c r="M141" s="73"/>
    </row>
    <row r="142" spans="1:17" x14ac:dyDescent="0.25">
      <c r="B142" s="74"/>
      <c r="C142" s="75"/>
      <c r="D142" s="40"/>
      <c r="E142" s="40"/>
      <c r="F142" s="40"/>
      <c r="G142" s="40"/>
      <c r="H142" s="40"/>
      <c r="I142" s="40"/>
      <c r="J142" s="40"/>
      <c r="K142" s="40"/>
      <c r="L142" s="58"/>
      <c r="M142" s="10"/>
    </row>
    <row r="143" spans="1:17" ht="14.1" customHeight="1" x14ac:dyDescent="0.25">
      <c r="B143" s="527" t="str">
        <f>IF(Intro!$G$20="English",O143,P143)</f>
        <v>Fournissez les stratégies et les objectifs de votre entreprise pour les deux prochaines années en ce qui concerne les importations et les ventes de marchandises importées. Fournir la justification et les hypothèses qui sous-tendent ces stratégies et objectifs.</v>
      </c>
      <c r="C143" s="528"/>
      <c r="D143" s="528"/>
      <c r="E143" s="528"/>
      <c r="F143" s="528"/>
      <c r="G143" s="528"/>
      <c r="H143" s="528"/>
      <c r="I143" s="528"/>
      <c r="J143" s="528"/>
      <c r="K143" s="528"/>
      <c r="L143" s="529"/>
      <c r="M143" s="10"/>
      <c r="O143" s="10" t="s">
        <v>224</v>
      </c>
      <c r="P143" s="10" t="s">
        <v>225</v>
      </c>
    </row>
    <row r="144" spans="1:17" x14ac:dyDescent="0.25">
      <c r="B144" s="527"/>
      <c r="C144" s="528"/>
      <c r="D144" s="528"/>
      <c r="E144" s="528"/>
      <c r="F144" s="528"/>
      <c r="G144" s="528"/>
      <c r="H144" s="528"/>
      <c r="I144" s="528"/>
      <c r="J144" s="528"/>
      <c r="K144" s="528"/>
      <c r="L144" s="529"/>
      <c r="M144" s="10"/>
    </row>
    <row r="145" spans="1:17" x14ac:dyDescent="0.25">
      <c r="B145" s="74"/>
      <c r="C145" s="75"/>
      <c r="D145" s="40"/>
      <c r="E145" s="40"/>
      <c r="F145" s="40"/>
      <c r="G145" s="40"/>
      <c r="H145" s="40"/>
      <c r="I145" s="40"/>
      <c r="J145" s="40"/>
      <c r="K145" s="40"/>
      <c r="L145" s="58"/>
      <c r="M145" s="10"/>
    </row>
    <row r="146" spans="1:17" s="11" customFormat="1" x14ac:dyDescent="0.25">
      <c r="A146" s="8"/>
      <c r="B146" s="663"/>
      <c r="C146" s="664"/>
      <c r="D146" s="664"/>
      <c r="E146" s="664"/>
      <c r="F146" s="664"/>
      <c r="G146" s="664"/>
      <c r="H146" s="664"/>
      <c r="I146" s="664"/>
      <c r="J146" s="664"/>
      <c r="K146" s="664"/>
      <c r="L146" s="665"/>
      <c r="M146" s="38"/>
      <c r="Q146" s="10"/>
    </row>
    <row r="147" spans="1:17" s="11" customFormat="1" x14ac:dyDescent="0.25">
      <c r="A147" s="8"/>
      <c r="B147" s="663"/>
      <c r="C147" s="664"/>
      <c r="D147" s="664"/>
      <c r="E147" s="664"/>
      <c r="F147" s="664"/>
      <c r="G147" s="664"/>
      <c r="H147" s="664"/>
      <c r="I147" s="664"/>
      <c r="J147" s="664"/>
      <c r="K147" s="664"/>
      <c r="L147" s="665"/>
      <c r="M147" s="38"/>
      <c r="Q147" s="10"/>
    </row>
    <row r="148" spans="1:17" s="11" customFormat="1" x14ac:dyDescent="0.25">
      <c r="A148" s="8"/>
      <c r="B148" s="663"/>
      <c r="C148" s="664"/>
      <c r="D148" s="664"/>
      <c r="E148" s="664"/>
      <c r="F148" s="664"/>
      <c r="G148" s="664"/>
      <c r="H148" s="664"/>
      <c r="I148" s="664"/>
      <c r="J148" s="664"/>
      <c r="K148" s="664"/>
      <c r="L148" s="665"/>
      <c r="M148" s="38"/>
      <c r="Q148" s="10"/>
    </row>
    <row r="149" spans="1:17" s="11" customFormat="1" x14ac:dyDescent="0.25">
      <c r="A149" s="8"/>
      <c r="B149" s="663"/>
      <c r="C149" s="664"/>
      <c r="D149" s="664"/>
      <c r="E149" s="664"/>
      <c r="F149" s="664"/>
      <c r="G149" s="664"/>
      <c r="H149" s="664"/>
      <c r="I149" s="664"/>
      <c r="J149" s="664"/>
      <c r="K149" s="664"/>
      <c r="L149" s="665"/>
      <c r="M149" s="38"/>
      <c r="Q149" s="10"/>
    </row>
    <row r="150" spans="1:17" s="11" customFormat="1" x14ac:dyDescent="0.25">
      <c r="A150" s="8"/>
      <c r="B150" s="663"/>
      <c r="C150" s="664"/>
      <c r="D150" s="664"/>
      <c r="E150" s="664"/>
      <c r="F150" s="664"/>
      <c r="G150" s="664"/>
      <c r="H150" s="664"/>
      <c r="I150" s="664"/>
      <c r="J150" s="664"/>
      <c r="K150" s="664"/>
      <c r="L150" s="665"/>
      <c r="M150" s="38"/>
      <c r="Q150" s="10"/>
    </row>
    <row r="151" spans="1:17" s="11" customFormat="1" x14ac:dyDescent="0.25">
      <c r="A151" s="8"/>
      <c r="B151" s="663"/>
      <c r="C151" s="664"/>
      <c r="D151" s="664"/>
      <c r="E151" s="664"/>
      <c r="F151" s="664"/>
      <c r="G151" s="664"/>
      <c r="H151" s="664"/>
      <c r="I151" s="664"/>
      <c r="J151" s="664"/>
      <c r="K151" s="664"/>
      <c r="L151" s="665"/>
      <c r="M151" s="38"/>
      <c r="Q151" s="10"/>
    </row>
    <row r="152" spans="1:17" s="11" customFormat="1" x14ac:dyDescent="0.25">
      <c r="A152" s="8"/>
      <c r="B152" s="663"/>
      <c r="C152" s="664"/>
      <c r="D152" s="664"/>
      <c r="E152" s="664"/>
      <c r="F152" s="664"/>
      <c r="G152" s="664"/>
      <c r="H152" s="664"/>
      <c r="I152" s="664"/>
      <c r="J152" s="664"/>
      <c r="K152" s="664"/>
      <c r="L152" s="665"/>
      <c r="M152" s="38"/>
      <c r="Q152" s="10"/>
    </row>
    <row r="153" spans="1:17" s="11" customFormat="1" x14ac:dyDescent="0.25">
      <c r="A153" s="8"/>
      <c r="B153" s="663"/>
      <c r="C153" s="664"/>
      <c r="D153" s="664"/>
      <c r="E153" s="664"/>
      <c r="F153" s="664"/>
      <c r="G153" s="664"/>
      <c r="H153" s="664"/>
      <c r="I153" s="664"/>
      <c r="J153" s="664"/>
      <c r="K153" s="664"/>
      <c r="L153" s="665"/>
      <c r="M153" s="38"/>
      <c r="Q153" s="10"/>
    </row>
    <row r="154" spans="1:17" x14ac:dyDescent="0.25">
      <c r="B154" s="72"/>
      <c r="C154" s="69"/>
      <c r="D154" s="69"/>
      <c r="E154" s="69"/>
      <c r="F154" s="69"/>
      <c r="G154" s="69"/>
      <c r="H154" s="69"/>
      <c r="I154" s="69"/>
      <c r="J154" s="69"/>
      <c r="K154" s="69"/>
      <c r="L154" s="70"/>
      <c r="M154" s="10"/>
    </row>
    <row r="155" spans="1:17" s="44" customFormat="1" x14ac:dyDescent="0.25">
      <c r="A155" s="76"/>
      <c r="B155" s="4"/>
      <c r="C155" s="4"/>
      <c r="D155" s="77"/>
      <c r="E155" s="77"/>
      <c r="F155" s="77"/>
      <c r="G155" s="77"/>
      <c r="H155" s="77"/>
      <c r="I155" s="77"/>
      <c r="J155" s="77"/>
      <c r="K155" s="77"/>
      <c r="L155" s="77"/>
      <c r="N155" s="78"/>
    </row>
    <row r="156" spans="1:17" s="44" customFormat="1" x14ac:dyDescent="0.25">
      <c r="A156" s="76"/>
      <c r="B156" s="4"/>
      <c r="C156" s="4"/>
      <c r="D156" s="77"/>
      <c r="E156" s="77"/>
      <c r="F156" s="77"/>
      <c r="G156" s="77"/>
      <c r="H156" s="77"/>
      <c r="I156" s="77"/>
      <c r="J156" s="77"/>
      <c r="K156" s="77"/>
      <c r="L156" s="77"/>
      <c r="N156" s="78"/>
    </row>
    <row r="157" spans="1:17" s="44" customFormat="1" x14ac:dyDescent="0.25">
      <c r="A157" s="76"/>
      <c r="B157" s="4"/>
      <c r="C157" s="4"/>
      <c r="D157" s="77"/>
      <c r="E157" s="77"/>
      <c r="F157" s="77"/>
      <c r="G157" s="77"/>
      <c r="H157" s="77"/>
      <c r="I157" s="77"/>
      <c r="J157" s="77"/>
      <c r="K157" s="77"/>
      <c r="L157" s="77"/>
      <c r="N157" s="78"/>
    </row>
    <row r="158" spans="1:17" s="44" customFormat="1" x14ac:dyDescent="0.25">
      <c r="A158" s="76"/>
      <c r="B158" s="4"/>
      <c r="C158" s="4"/>
      <c r="D158" s="77"/>
      <c r="E158" s="77"/>
      <c r="F158" s="77"/>
      <c r="G158" s="77"/>
      <c r="H158" s="77"/>
      <c r="I158" s="77"/>
      <c r="J158" s="77"/>
      <c r="K158" s="77"/>
      <c r="L158" s="77"/>
      <c r="N158" s="78"/>
    </row>
    <row r="159" spans="1:17" s="44" customFormat="1" x14ac:dyDescent="0.25">
      <c r="A159" s="76"/>
      <c r="B159" s="4"/>
      <c r="C159" s="4"/>
      <c r="D159" s="77"/>
      <c r="E159" s="77"/>
      <c r="F159" s="77"/>
      <c r="G159" s="77"/>
      <c r="H159" s="77"/>
      <c r="I159" s="77"/>
      <c r="J159" s="77"/>
      <c r="K159" s="77"/>
      <c r="L159" s="77"/>
      <c r="N159" s="78"/>
    </row>
    <row r="160" spans="1:17" s="44" customFormat="1" x14ac:dyDescent="0.25">
      <c r="A160" s="76"/>
      <c r="B160" s="4"/>
      <c r="C160" s="4"/>
      <c r="D160" s="77"/>
      <c r="E160" s="77"/>
      <c r="F160" s="77"/>
      <c r="G160" s="77"/>
      <c r="H160" s="77"/>
      <c r="I160" s="77"/>
      <c r="J160" s="77"/>
      <c r="K160" s="77"/>
      <c r="L160" s="77"/>
      <c r="N160" s="78"/>
    </row>
    <row r="161" spans="1:14" s="44" customFormat="1" x14ac:dyDescent="0.25">
      <c r="A161" s="76"/>
      <c r="B161" s="4"/>
      <c r="C161" s="4"/>
      <c r="D161" s="77"/>
      <c r="E161" s="77"/>
      <c r="F161" s="77"/>
      <c r="G161" s="77"/>
      <c r="H161" s="77"/>
      <c r="I161" s="77"/>
      <c r="J161" s="77"/>
      <c r="K161" s="77"/>
      <c r="L161" s="77"/>
      <c r="N161" s="78"/>
    </row>
    <row r="162" spans="1:14" s="44" customFormat="1" x14ac:dyDescent="0.25">
      <c r="A162" s="76"/>
      <c r="B162" s="4"/>
      <c r="C162" s="4"/>
      <c r="D162" s="77"/>
      <c r="E162" s="77"/>
      <c r="F162" s="77"/>
      <c r="G162" s="77"/>
      <c r="H162" s="77"/>
      <c r="I162" s="77"/>
      <c r="J162" s="77"/>
      <c r="K162" s="77"/>
      <c r="L162" s="77"/>
      <c r="N162" s="78"/>
    </row>
    <row r="163" spans="1:14" s="44" customFormat="1" x14ac:dyDescent="0.25">
      <c r="A163" s="76"/>
      <c r="B163" s="4"/>
      <c r="C163" s="4"/>
      <c r="D163" s="77"/>
      <c r="E163" s="77"/>
      <c r="F163" s="77"/>
      <c r="G163" s="77"/>
      <c r="H163" s="77"/>
      <c r="I163" s="77"/>
      <c r="J163" s="77"/>
      <c r="K163" s="77"/>
      <c r="L163" s="77"/>
      <c r="N163" s="78"/>
    </row>
    <row r="164" spans="1:14" s="44" customFormat="1" x14ac:dyDescent="0.25">
      <c r="A164" s="76"/>
      <c r="B164" s="4"/>
      <c r="C164" s="4"/>
      <c r="D164" s="77"/>
      <c r="E164" s="77"/>
      <c r="F164" s="77"/>
      <c r="G164" s="77"/>
      <c r="H164" s="77"/>
      <c r="I164" s="77"/>
      <c r="J164" s="77"/>
      <c r="K164" s="77"/>
      <c r="L164" s="77"/>
      <c r="N164" s="78"/>
    </row>
    <row r="165" spans="1:14" s="44" customFormat="1" x14ac:dyDescent="0.25">
      <c r="A165" s="76"/>
      <c r="B165" s="4"/>
      <c r="C165" s="4"/>
      <c r="D165" s="77"/>
      <c r="E165" s="77"/>
      <c r="F165" s="77"/>
      <c r="G165" s="77"/>
      <c r="H165" s="77"/>
      <c r="I165" s="77"/>
      <c r="J165" s="77"/>
      <c r="K165" s="77"/>
      <c r="L165" s="77"/>
      <c r="N165" s="78"/>
    </row>
    <row r="166" spans="1:14" s="44" customFormat="1" x14ac:dyDescent="0.25">
      <c r="A166" s="76"/>
      <c r="B166" s="4"/>
      <c r="C166" s="4"/>
      <c r="D166" s="77"/>
      <c r="E166" s="77"/>
      <c r="F166" s="77"/>
      <c r="G166" s="77"/>
      <c r="H166" s="77"/>
      <c r="I166" s="77"/>
      <c r="J166" s="77"/>
      <c r="K166" s="77"/>
      <c r="L166" s="77"/>
      <c r="N166" s="78"/>
    </row>
    <row r="167" spans="1:14" s="44" customFormat="1" x14ac:dyDescent="0.25">
      <c r="A167" s="76"/>
      <c r="B167" s="4"/>
      <c r="C167" s="4"/>
      <c r="D167" s="77"/>
      <c r="E167" s="77"/>
      <c r="F167" s="77"/>
      <c r="G167" s="77"/>
      <c r="H167" s="77"/>
      <c r="I167" s="77"/>
      <c r="J167" s="77"/>
      <c r="K167" s="77"/>
      <c r="L167" s="77"/>
      <c r="N167" s="78"/>
    </row>
    <row r="168" spans="1:14" s="44" customFormat="1" x14ac:dyDescent="0.25">
      <c r="A168" s="76"/>
      <c r="B168" s="4"/>
      <c r="C168" s="4"/>
      <c r="D168" s="77"/>
      <c r="E168" s="77"/>
      <c r="F168" s="77"/>
      <c r="G168" s="77"/>
      <c r="H168" s="77"/>
      <c r="I168" s="77"/>
      <c r="J168" s="77"/>
      <c r="K168" s="77"/>
      <c r="L168" s="77"/>
      <c r="N168" s="78"/>
    </row>
    <row r="169" spans="1:14" s="44" customFormat="1" x14ac:dyDescent="0.25">
      <c r="A169" s="76"/>
      <c r="B169" s="4"/>
      <c r="C169" s="4"/>
      <c r="D169" s="77"/>
      <c r="E169" s="77"/>
      <c r="F169" s="77"/>
      <c r="G169" s="77"/>
      <c r="H169" s="77"/>
      <c r="I169" s="77"/>
      <c r="J169" s="77"/>
      <c r="K169" s="77"/>
      <c r="L169" s="77"/>
      <c r="N169" s="78"/>
    </row>
    <row r="170" spans="1:14" s="44" customFormat="1" x14ac:dyDescent="0.25">
      <c r="A170" s="76"/>
      <c r="B170" s="4"/>
      <c r="C170" s="4"/>
      <c r="D170" s="77"/>
      <c r="E170" s="77"/>
      <c r="F170" s="77"/>
      <c r="G170" s="77"/>
      <c r="H170" s="77"/>
      <c r="I170" s="77"/>
      <c r="J170" s="77"/>
      <c r="K170" s="77"/>
      <c r="L170" s="77"/>
      <c r="N170" s="78"/>
    </row>
    <row r="171" spans="1:14" s="44" customFormat="1" x14ac:dyDescent="0.25">
      <c r="A171" s="76"/>
      <c r="B171" s="4"/>
      <c r="C171" s="4"/>
      <c r="D171" s="77"/>
      <c r="E171" s="77"/>
      <c r="F171" s="77"/>
      <c r="G171" s="77"/>
      <c r="H171" s="77"/>
      <c r="I171" s="77"/>
      <c r="J171" s="77"/>
      <c r="K171" s="77"/>
      <c r="L171" s="77"/>
      <c r="N171" s="78"/>
    </row>
    <row r="172" spans="1:14" s="44" customFormat="1" x14ac:dyDescent="0.25">
      <c r="A172" s="76"/>
      <c r="B172" s="4"/>
      <c r="C172" s="4"/>
      <c r="D172" s="77"/>
      <c r="E172" s="77"/>
      <c r="F172" s="77"/>
      <c r="G172" s="77"/>
      <c r="H172" s="77"/>
      <c r="I172" s="77"/>
      <c r="J172" s="77"/>
      <c r="K172" s="77"/>
      <c r="L172" s="77"/>
      <c r="N172" s="78"/>
    </row>
    <row r="173" spans="1:14" s="44" customFormat="1" x14ac:dyDescent="0.25">
      <c r="A173" s="76"/>
      <c r="B173" s="4"/>
      <c r="C173" s="4"/>
      <c r="D173" s="77"/>
      <c r="E173" s="77"/>
      <c r="F173" s="77"/>
      <c r="G173" s="77"/>
      <c r="H173" s="77"/>
      <c r="I173" s="77"/>
      <c r="J173" s="77"/>
      <c r="K173" s="77"/>
      <c r="L173" s="77"/>
      <c r="N173" s="78"/>
    </row>
    <row r="174" spans="1:14" s="44" customFormat="1" x14ac:dyDescent="0.25">
      <c r="A174" s="76"/>
      <c r="B174" s="4"/>
      <c r="C174" s="4"/>
      <c r="D174" s="77"/>
      <c r="E174" s="77"/>
      <c r="F174" s="77"/>
      <c r="G174" s="77"/>
      <c r="H174" s="77"/>
      <c r="I174" s="77"/>
      <c r="J174" s="77"/>
      <c r="K174" s="77"/>
      <c r="L174" s="77"/>
      <c r="N174" s="78"/>
    </row>
    <row r="175" spans="1:14" s="44" customFormat="1" x14ac:dyDescent="0.25">
      <c r="A175" s="76"/>
      <c r="B175" s="4"/>
      <c r="C175" s="4"/>
      <c r="D175" s="77"/>
      <c r="E175" s="77"/>
      <c r="F175" s="77"/>
      <c r="G175" s="77"/>
      <c r="H175" s="77"/>
      <c r="I175" s="77"/>
      <c r="J175" s="77"/>
      <c r="K175" s="77"/>
      <c r="L175" s="77"/>
      <c r="N175" s="78"/>
    </row>
  </sheetData>
  <sheetProtection algorithmName="SHA-512" hashValue="uz5lmG5zHNWV2qmW5lAEQV9NV96ldt+v2HSXOstqBRS722+nlHJjF7gzvtRBOfIJ8ehbSRRv8Zt9WynBDoBNVQ==" saltValue="WNGmjvgDM41grT15qSYJ+A==" spinCount="100000" sheet="1" objects="1" scenarios="1" selectLockedCells="1"/>
  <mergeCells count="69">
    <mergeCell ref="B35:L37"/>
    <mergeCell ref="E54:E55"/>
    <mergeCell ref="F54:F55"/>
    <mergeCell ref="H54:H55"/>
    <mergeCell ref="I54:I55"/>
    <mergeCell ref="B71:L72"/>
    <mergeCell ref="B74:L81"/>
    <mergeCell ref="B97:L97"/>
    <mergeCell ref="B127:L127"/>
    <mergeCell ref="G103:G104"/>
    <mergeCell ref="H103:H104"/>
    <mergeCell ref="I103:I104"/>
    <mergeCell ref="B113:L113"/>
    <mergeCell ref="B126:L126"/>
    <mergeCell ref="B83:L83"/>
    <mergeCell ref="B98:L98"/>
    <mergeCell ref="B87:L94"/>
    <mergeCell ref="B141:L141"/>
    <mergeCell ref="J103:J104"/>
    <mergeCell ref="K103:K104"/>
    <mergeCell ref="B129:L130"/>
    <mergeCell ref="C120:L120"/>
    <mergeCell ref="C121:L121"/>
    <mergeCell ref="C122:L122"/>
    <mergeCell ref="C123:L123"/>
    <mergeCell ref="B132:L139"/>
    <mergeCell ref="B117:L117"/>
    <mergeCell ref="B116:L116"/>
    <mergeCell ref="C119:L119"/>
    <mergeCell ref="B114:L114"/>
    <mergeCell ref="B4:L4"/>
    <mergeCell ref="B5:L5"/>
    <mergeCell ref="B6:L6"/>
    <mergeCell ref="B11:L11"/>
    <mergeCell ref="B8:L8"/>
    <mergeCell ref="B9:L9"/>
    <mergeCell ref="B10:L10"/>
    <mergeCell ref="B12:L12"/>
    <mergeCell ref="B85:L85"/>
    <mergeCell ref="B56:C56"/>
    <mergeCell ref="B52:L52"/>
    <mergeCell ref="B38:L38"/>
    <mergeCell ref="B22:L22"/>
    <mergeCell ref="G54:G55"/>
    <mergeCell ref="B69:L69"/>
    <mergeCell ref="B19:L19"/>
    <mergeCell ref="B13:L13"/>
    <mergeCell ref="B24:L31"/>
    <mergeCell ref="B40:L47"/>
    <mergeCell ref="B60:L67"/>
    <mergeCell ref="B33:L33"/>
    <mergeCell ref="B49:L49"/>
    <mergeCell ref="B18:L18"/>
    <mergeCell ref="B146:L153"/>
    <mergeCell ref="B14:L14"/>
    <mergeCell ref="B15:L15"/>
    <mergeCell ref="B16:L16"/>
    <mergeCell ref="B110:E110"/>
    <mergeCell ref="B105:E105"/>
    <mergeCell ref="B106:E106"/>
    <mergeCell ref="B107:E107"/>
    <mergeCell ref="B108:E108"/>
    <mergeCell ref="B109:E109"/>
    <mergeCell ref="B21:L21"/>
    <mergeCell ref="B51:L51"/>
    <mergeCell ref="B58:L58"/>
    <mergeCell ref="B101:L101"/>
    <mergeCell ref="B100:L100"/>
    <mergeCell ref="B143:L144"/>
  </mergeCells>
  <dataValidations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4:B26 B40 B60 B74 B87 B132 B146 B42:B43 B63:B64 B78:B79 B90:B91 B134:B135 B148:B149" xr:uid="{D57C5EAA-365B-40A0-A0ED-271BD91A3A59}">
      <formula1>1000</formula1>
    </dataValidation>
    <dataValidation allowBlank="1" showInputMessage="1" showErrorMessage="1" sqref="C119:L123" xr:uid="{8FC205C6-62FE-4708-ADE0-5041AE69E3B2}"/>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105:K109 E56:I56" xr:uid="{16746B84-75D7-4AE8-AB5C-DCB10DC84C50}">
      <formula1>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48" min="1" max="11" man="1"/>
    <brk id="96"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showGridLines="0" topLeftCell="A120" zoomScaleNormal="100" workbookViewId="0">
      <selection activeCell="B136" sqref="B136:L137"/>
    </sheetView>
  </sheetViews>
  <sheetFormatPr defaultRowHeight="15" x14ac:dyDescent="0.25"/>
  <sheetData/>
  <sheetProtection algorithmName="SHA-512" hashValue="cJ5PSLj6Y5kV+ZmyTIRVLWVoadKJqBVx8Y3QkCHhxcOn9Pnz+89JwBwyB9l5BjqZH2Y+mct2rkqE5BeLuFnhTg==" saltValue="SGJ8pTTZLnz4Zjl23ZUixA==" spinCount="100000" sheet="1" objects="1" scenarios="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D655B-DC4C-43E6-8847-26AB670F1254}">
  <sheetPr codeName="Sheet8">
    <tabColor rgb="FF92D050"/>
    <pageSetUpPr fitToPage="1"/>
  </sheetPr>
  <dimension ref="A1:S270"/>
  <sheetViews>
    <sheetView showGridLines="0" topLeftCell="B1" zoomScaleNormal="100" zoomScaleSheetLayoutView="55" workbookViewId="0">
      <selection activeCell="O1" sqref="O1:P1048576"/>
    </sheetView>
  </sheetViews>
  <sheetFormatPr defaultColWidth="9.140625" defaultRowHeight="14.25" x14ac:dyDescent="0.25"/>
  <cols>
    <col min="1" max="1" width="1.85546875" style="7" customWidth="1"/>
    <col min="2" max="9" width="14.5703125" style="1" customWidth="1"/>
    <col min="10" max="10" width="15" style="1" customWidth="1"/>
    <col min="11" max="12" width="14.5703125" style="1" customWidth="1"/>
    <col min="13" max="13" width="6.140625" style="9" customWidth="1"/>
    <col min="14" max="14" width="9.140625" style="10" customWidth="1"/>
    <col min="15" max="15" width="10.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Pro!B2</f>
        <v>PROTÉGÉ</v>
      </c>
      <c r="C2" s="12"/>
      <c r="D2" s="12"/>
      <c r="O2" s="161" t="s">
        <v>93</v>
      </c>
      <c r="P2" s="161" t="s">
        <v>109</v>
      </c>
    </row>
    <row r="3" spans="1:16" x14ac:dyDescent="0.25">
      <c r="B3" s="13"/>
      <c r="C3" s="13"/>
      <c r="D3" s="13"/>
      <c r="O3" s="2"/>
      <c r="P3" s="2"/>
    </row>
    <row r="4" spans="1:16" s="2" customFormat="1" x14ac:dyDescent="0.25">
      <c r="A4" s="33"/>
      <c r="B4" s="615" t="str">
        <f>Info!B4</f>
        <v>QUESTIONNAIRE À L'INTENTION DES IMPORTATEURS</v>
      </c>
      <c r="C4" s="616"/>
      <c r="D4" s="616"/>
      <c r="E4" s="616"/>
      <c r="F4" s="616"/>
      <c r="G4" s="616"/>
      <c r="H4" s="616"/>
      <c r="I4" s="616"/>
      <c r="J4" s="616"/>
      <c r="K4" s="616"/>
      <c r="L4" s="617"/>
      <c r="M4" s="25"/>
      <c r="N4" s="25"/>
      <c r="O4" s="19"/>
      <c r="P4" s="19"/>
    </row>
    <row r="5" spans="1:16" s="2" customFormat="1" x14ac:dyDescent="0.25">
      <c r="A5" s="33"/>
      <c r="B5" s="651" t="str">
        <f>Info!B5</f>
        <v>NQ-2026-001</v>
      </c>
      <c r="C5" s="652"/>
      <c r="D5" s="652"/>
      <c r="E5" s="652"/>
      <c r="F5" s="652"/>
      <c r="G5" s="652"/>
      <c r="H5" s="652"/>
      <c r="I5" s="652"/>
      <c r="J5" s="652"/>
      <c r="K5" s="652"/>
      <c r="L5" s="653"/>
      <c r="M5" s="25"/>
      <c r="N5" s="25"/>
      <c r="O5" s="19"/>
      <c r="P5" s="19"/>
    </row>
    <row r="6" spans="1:16" s="6" customFormat="1" x14ac:dyDescent="0.25">
      <c r="A6" s="33"/>
      <c r="B6" s="651" t="str">
        <f>Info!B6</f>
        <v>TUBAGES DE PUITS DE GAZ ET DE PÉTROLE</v>
      </c>
      <c r="C6" s="652"/>
      <c r="D6" s="652"/>
      <c r="E6" s="652"/>
      <c r="F6" s="652"/>
      <c r="G6" s="652"/>
      <c r="H6" s="652"/>
      <c r="I6" s="652"/>
      <c r="J6" s="652"/>
      <c r="K6" s="652"/>
      <c r="L6" s="653"/>
      <c r="M6" s="19"/>
      <c r="N6" s="19"/>
      <c r="O6" s="15"/>
      <c r="P6" s="15"/>
    </row>
    <row r="7" spans="1:16" s="6" customFormat="1" x14ac:dyDescent="0.25">
      <c r="A7" s="33"/>
      <c r="B7" s="154"/>
      <c r="C7" s="155"/>
      <c r="D7" s="155"/>
      <c r="E7" s="155"/>
      <c r="F7" s="155"/>
      <c r="G7" s="155"/>
      <c r="H7" s="155"/>
      <c r="I7" s="155"/>
      <c r="J7" s="155"/>
      <c r="K7" s="155"/>
      <c r="L7" s="156"/>
      <c r="M7" s="19"/>
      <c r="N7" s="19"/>
      <c r="O7" s="20"/>
    </row>
    <row r="8" spans="1:16" s="6" customFormat="1" x14ac:dyDescent="0.25">
      <c r="A8" s="33"/>
      <c r="B8" s="657" t="str">
        <f>Public!B8</f>
        <v>Les marchandises dans les questions suivantes font référence aux marchandises comme définies dans la description du produit de l'onglet Intro.</v>
      </c>
      <c r="C8" s="658"/>
      <c r="D8" s="658"/>
      <c r="E8" s="658"/>
      <c r="F8" s="658"/>
      <c r="G8" s="658"/>
      <c r="H8" s="658"/>
      <c r="I8" s="658"/>
      <c r="J8" s="658"/>
      <c r="K8" s="658"/>
      <c r="L8" s="659"/>
      <c r="M8" s="19"/>
      <c r="N8" s="19"/>
      <c r="O8" s="15"/>
      <c r="P8" s="15"/>
    </row>
    <row r="9" spans="1:16" s="6" customFormat="1" x14ac:dyDescent="0.25">
      <c r="A9" s="33"/>
      <c r="B9" s="657" t="str">
        <f>Public!B9</f>
        <v>Des informations sur le produit et un glossaire de termes sont disponibles dans l'onglet Info.</v>
      </c>
      <c r="C9" s="658"/>
      <c r="D9" s="658"/>
      <c r="E9" s="658"/>
      <c r="F9" s="658"/>
      <c r="G9" s="658"/>
      <c r="H9" s="658"/>
      <c r="I9" s="658"/>
      <c r="J9" s="658"/>
      <c r="K9" s="658"/>
      <c r="L9" s="659"/>
      <c r="M9" s="19"/>
      <c r="N9" s="19"/>
      <c r="O9" s="15"/>
    </row>
    <row r="10" spans="1:16" s="6" customFormat="1" ht="27.75" customHeight="1" x14ac:dyDescent="0.25">
      <c r="A10" s="33"/>
      <c r="B10" s="657" t="str">
        <f>IF(Intro!$G$20="English",O10,P10)</f>
        <v>Utilisez un onglet numéroté « Imp-Aus » pour chaque exportateur à partir duquel votre entreprise a importé. Pour obtenir des onglets « Imp-Aus » supplémentaires, contactez un analyste de cas identifié dans l'onglet « Intro ».</v>
      </c>
      <c r="C10" s="658"/>
      <c r="D10" s="658"/>
      <c r="E10" s="658"/>
      <c r="F10" s="658"/>
      <c r="G10" s="658"/>
      <c r="H10" s="658"/>
      <c r="I10" s="658"/>
      <c r="J10" s="658"/>
      <c r="K10" s="658"/>
      <c r="L10" s="659"/>
      <c r="M10" s="19"/>
      <c r="N10" s="19"/>
      <c r="O10" s="10" t="s">
        <v>680</v>
      </c>
      <c r="P10" s="10" t="s">
        <v>681</v>
      </c>
    </row>
    <row r="11" spans="1:16" s="6" customFormat="1" x14ac:dyDescent="0.25">
      <c r="A11" s="33"/>
      <c r="B11" s="657" t="str">
        <f>Pro!B12</f>
        <v>Pour les questions de cet onglet, notez ce qui suit :</v>
      </c>
      <c r="C11" s="658"/>
      <c r="D11" s="658"/>
      <c r="E11" s="658"/>
      <c r="F11" s="658"/>
      <c r="G11" s="658"/>
      <c r="H11" s="658"/>
      <c r="I11" s="658"/>
      <c r="J11" s="658"/>
      <c r="K11" s="658"/>
      <c r="L11" s="659"/>
      <c r="M11" s="19"/>
      <c r="N11" s="19"/>
      <c r="O11" s="15"/>
      <c r="P11" s="15"/>
    </row>
    <row r="12" spans="1:16" s="6" customFormat="1" ht="25.5" customHeight="1" x14ac:dyDescent="0.25">
      <c r="A12" s="33"/>
      <c r="B12" s="721" t="str">
        <f>Pro!B13</f>
        <v xml:space="preserve">• Veuillez indiquer seulement les ventes effectuées à partir des importations de votre entreprise. Les ventes de marchandises achetées auprès de producteurs canadiens doivent être exclues. </v>
      </c>
      <c r="C12" s="722"/>
      <c r="D12" s="722"/>
      <c r="E12" s="722"/>
      <c r="F12" s="722"/>
      <c r="G12" s="722"/>
      <c r="H12" s="722"/>
      <c r="I12" s="722"/>
      <c r="J12" s="722"/>
      <c r="K12" s="722"/>
      <c r="L12" s="723"/>
      <c r="M12" s="19"/>
      <c r="N12" s="19"/>
      <c r="O12" s="15"/>
      <c r="P12" s="15"/>
    </row>
    <row r="13" spans="1:16" s="6" customFormat="1" x14ac:dyDescent="0.25">
      <c r="A13" s="33"/>
      <c r="B13" s="657" t="str">
        <f>Pro!B14</f>
        <v>• Déclarez toutes les ventes aux entreprises associées canadiennes et étrangères.</v>
      </c>
      <c r="C13" s="658"/>
      <c r="D13" s="658"/>
      <c r="E13" s="658"/>
      <c r="F13" s="658"/>
      <c r="G13" s="658"/>
      <c r="H13" s="658"/>
      <c r="I13" s="658"/>
      <c r="J13" s="658"/>
      <c r="K13" s="658"/>
      <c r="L13" s="659"/>
      <c r="M13" s="19"/>
      <c r="N13" s="19"/>
      <c r="O13" s="15"/>
      <c r="P13" s="15"/>
    </row>
    <row r="14" spans="1:16" s="6" customFormat="1" x14ac:dyDescent="0.25">
      <c r="A14" s="33"/>
      <c r="B14" s="657" t="str">
        <f>Pro!B15</f>
        <v>• Déclarez toutes les ventes à compter de la date de l’expédition au client ou à son entrepôt.</v>
      </c>
      <c r="C14" s="658"/>
      <c r="D14" s="658"/>
      <c r="E14" s="658"/>
      <c r="F14" s="658"/>
      <c r="G14" s="658"/>
      <c r="H14" s="658"/>
      <c r="I14" s="658"/>
      <c r="J14" s="658"/>
      <c r="K14" s="658"/>
      <c r="L14" s="659"/>
      <c r="M14" s="19"/>
      <c r="N14" s="19"/>
      <c r="O14" s="15"/>
      <c r="P14" s="15"/>
    </row>
    <row r="15" spans="1:16" s="6" customFormat="1" x14ac:dyDescent="0.25">
      <c r="A15" s="33"/>
      <c r="B15" s="657" t="str">
        <f>Pro!B16</f>
        <v>• Déclarez toutes les valeurs en dollars canadiens.</v>
      </c>
      <c r="C15" s="658"/>
      <c r="D15" s="658"/>
      <c r="E15" s="658"/>
      <c r="F15" s="658"/>
      <c r="G15" s="658"/>
      <c r="H15" s="658"/>
      <c r="I15" s="658"/>
      <c r="J15" s="658"/>
      <c r="K15" s="658"/>
      <c r="L15" s="659"/>
      <c r="M15" s="19"/>
      <c r="N15" s="19"/>
      <c r="O15" s="15"/>
      <c r="P15" s="15"/>
    </row>
    <row r="16" spans="1:16" s="6" customFormat="1" x14ac:dyDescent="0.25">
      <c r="A16" s="33"/>
      <c r="B16" s="660" t="str">
        <f>IF(Intro!$G$20="English",O16,P16)</f>
        <v>• Si votre entreprise est un utilisateur final ou un détaillant, elle n’a pas besoin de déclarer ses ventes d’importations ou ses stocks d’importations.</v>
      </c>
      <c r="C16" s="661"/>
      <c r="D16" s="661"/>
      <c r="E16" s="661"/>
      <c r="F16" s="661"/>
      <c r="G16" s="661"/>
      <c r="H16" s="661"/>
      <c r="I16" s="661"/>
      <c r="J16" s="661"/>
      <c r="K16" s="661"/>
      <c r="L16" s="662"/>
      <c r="M16" s="19"/>
      <c r="N16" s="19"/>
      <c r="O16" s="15" t="s">
        <v>263</v>
      </c>
      <c r="P16" s="15" t="s">
        <v>264</v>
      </c>
    </row>
    <row r="17" spans="1:16" s="6" customFormat="1" x14ac:dyDescent="0.25">
      <c r="A17" s="33"/>
      <c r="B17" s="14"/>
      <c r="C17" s="14"/>
      <c r="D17" s="14"/>
      <c r="E17" s="3"/>
      <c r="F17" s="3"/>
      <c r="G17" s="3"/>
      <c r="H17" s="3"/>
      <c r="I17" s="3"/>
      <c r="J17" s="3"/>
      <c r="K17" s="3"/>
      <c r="L17" s="3"/>
      <c r="O17" s="15"/>
      <c r="P17" s="15"/>
    </row>
    <row r="18" spans="1:16" x14ac:dyDescent="0.25">
      <c r="B18" s="533" t="str">
        <f>IF(Intro!$G$20="English",O18,P18)</f>
        <v>IMPORTATIONS ET VENTES</v>
      </c>
      <c r="C18" s="534"/>
      <c r="D18" s="534"/>
      <c r="E18" s="534"/>
      <c r="F18" s="534"/>
      <c r="G18" s="534"/>
      <c r="H18" s="534"/>
      <c r="I18" s="534"/>
      <c r="J18" s="534"/>
      <c r="K18" s="534"/>
      <c r="L18" s="535"/>
      <c r="M18" s="10"/>
      <c r="O18" s="105" t="s">
        <v>333</v>
      </c>
      <c r="P18" s="105" t="s">
        <v>334</v>
      </c>
    </row>
    <row r="19" spans="1:16" x14ac:dyDescent="0.25">
      <c r="B19" s="671" t="s">
        <v>12</v>
      </c>
      <c r="C19" s="672"/>
      <c r="D19" s="672"/>
      <c r="E19" s="672"/>
      <c r="F19" s="672"/>
      <c r="G19" s="672"/>
      <c r="H19" s="672"/>
      <c r="I19" s="672"/>
      <c r="J19" s="672"/>
      <c r="K19" s="672"/>
      <c r="L19" s="673"/>
      <c r="M19" s="10"/>
    </row>
    <row r="20" spans="1:16" x14ac:dyDescent="0.25">
      <c r="B20" s="16"/>
      <c r="C20" s="35"/>
      <c r="D20" s="35"/>
      <c r="E20" s="36"/>
      <c r="F20" s="36"/>
      <c r="G20" s="36"/>
      <c r="H20" s="36"/>
      <c r="I20" s="36"/>
      <c r="J20" s="36"/>
      <c r="K20" s="36"/>
      <c r="L20" s="17"/>
      <c r="M20" s="10"/>
    </row>
    <row r="21" spans="1:16" ht="15.75" x14ac:dyDescent="0.25">
      <c r="B21" s="713" t="str">
        <f>IF(Intro!$G$20="English",O21,P21)</f>
        <v xml:space="preserve">Indiquez les importations et les ventes de marchandises de votre entreprise de : </v>
      </c>
      <c r="C21" s="715"/>
      <c r="D21" s="715"/>
      <c r="E21" s="715"/>
      <c r="F21" s="715"/>
      <c r="G21" s="739" t="str">
        <f>IF(Intro!$G$20="English",Variables!B49,Variables!C49)</f>
        <v>Autriche</v>
      </c>
      <c r="H21" s="739"/>
      <c r="I21" s="739"/>
      <c r="J21" s="739"/>
      <c r="K21" s="739"/>
      <c r="L21" s="67"/>
      <c r="M21" s="10"/>
      <c r="O21" s="10" t="s">
        <v>283</v>
      </c>
      <c r="P21" s="10" t="s">
        <v>284</v>
      </c>
    </row>
    <row r="22" spans="1:16" ht="15.75" x14ac:dyDescent="0.25">
      <c r="B22" s="743" t="str">
        <f>IF(Intro!$G$20="English",O22,P22)</f>
        <v>Nom de l'exportateur :</v>
      </c>
      <c r="C22" s="744"/>
      <c r="D22" s="744"/>
      <c r="E22" s="744"/>
      <c r="F22" s="744"/>
      <c r="G22" s="742"/>
      <c r="H22" s="742"/>
      <c r="I22" s="742"/>
      <c r="J22" s="742"/>
      <c r="K22" s="742"/>
      <c r="L22" s="67"/>
      <c r="M22" s="10"/>
      <c r="O22" s="10" t="s">
        <v>168</v>
      </c>
      <c r="P22" s="10" t="s">
        <v>169</v>
      </c>
    </row>
    <row r="23" spans="1:16" x14ac:dyDescent="0.25">
      <c r="B23" s="131"/>
      <c r="C23" s="132"/>
      <c r="D23" s="132"/>
      <c r="E23" s="132"/>
      <c r="F23" s="132"/>
      <c r="G23" s="36"/>
      <c r="H23" s="36"/>
      <c r="I23" s="36"/>
      <c r="J23" s="36"/>
      <c r="K23" s="36"/>
      <c r="L23" s="17"/>
      <c r="M23" s="10"/>
    </row>
    <row r="24" spans="1:16" x14ac:dyDescent="0.25">
      <c r="B24" s="131"/>
      <c r="C24" s="132"/>
      <c r="D24" s="132"/>
      <c r="E24" s="132"/>
      <c r="F24" s="132"/>
      <c r="G24" s="177">
        <f>Variables!$B$6</f>
        <v>2023</v>
      </c>
      <c r="H24" s="177">
        <f>G24+1</f>
        <v>2024</v>
      </c>
      <c r="I24" s="177">
        <f>H24+1</f>
        <v>2025</v>
      </c>
      <c r="J24" s="177" t="str">
        <f>IF(Intro!$G$20="English",Variables!B9,Variables!C9)</f>
        <v>janv.-mars 2025</v>
      </c>
      <c r="K24" s="177" t="str">
        <f>IF(Intro!$G$20="English",Variables!B10,Variables!C10)</f>
        <v>janv.-mars 2026</v>
      </c>
      <c r="L24" s="71"/>
      <c r="M24" s="10"/>
      <c r="O24" s="18"/>
    </row>
    <row r="25" spans="1:16" s="11" customFormat="1" x14ac:dyDescent="0.25">
      <c r="A25" s="32"/>
      <c r="B25" s="729" t="str">
        <f>IF(Intro!$G$20="English",O25,P25)</f>
        <v>Importations au Canada</v>
      </c>
      <c r="C25" s="730"/>
      <c r="D25" s="730"/>
      <c r="E25" s="730"/>
      <c r="F25" s="730"/>
      <c r="G25" s="730"/>
      <c r="H25" s="730"/>
      <c r="I25" s="730"/>
      <c r="J25" s="730"/>
      <c r="K25" s="730"/>
      <c r="L25" s="71"/>
      <c r="O25" s="26" t="s">
        <v>234</v>
      </c>
      <c r="P25" s="11" t="s">
        <v>235</v>
      </c>
    </row>
    <row r="26" spans="1:16" x14ac:dyDescent="0.25">
      <c r="B26" s="736" t="str">
        <f>IF(Intro!$G$20="English",O26,P26)</f>
        <v>Importations</v>
      </c>
      <c r="C26" s="737"/>
      <c r="D26" s="738" t="str">
        <f>IF(Intro!$G$20="English",Variables!$B$23,Variables!$C$23)</f>
        <v>tonnes</v>
      </c>
      <c r="E26" s="738"/>
      <c r="F26" s="738"/>
      <c r="G26" s="133"/>
      <c r="H26" s="133"/>
      <c r="I26" s="133"/>
      <c r="J26" s="133"/>
      <c r="K26" s="127"/>
      <c r="L26" s="71"/>
      <c r="M26" s="10"/>
      <c r="O26" s="10" t="s">
        <v>91</v>
      </c>
      <c r="P26" s="10" t="s">
        <v>170</v>
      </c>
    </row>
    <row r="27" spans="1:16" x14ac:dyDescent="0.25">
      <c r="B27" s="736"/>
      <c r="C27" s="737"/>
      <c r="D27" s="738" t="str">
        <f>IF(Intro!$G$20="English",O27,P27)</f>
        <v>valeur d'achat nette rendue (CAD)</v>
      </c>
      <c r="E27" s="738"/>
      <c r="F27" s="738"/>
      <c r="G27" s="133"/>
      <c r="H27" s="133"/>
      <c r="I27" s="133"/>
      <c r="J27" s="133"/>
      <c r="K27" s="127"/>
      <c r="L27" s="71"/>
      <c r="M27" s="10"/>
      <c r="O27" s="10" t="s">
        <v>341</v>
      </c>
      <c r="P27" s="10" t="s">
        <v>340</v>
      </c>
    </row>
    <row r="28" spans="1:16" x14ac:dyDescent="0.25">
      <c r="B28" s="736"/>
      <c r="C28" s="737"/>
      <c r="D28" s="738" t="str">
        <f>"$ / "&amp;IF(Intro!$G$20="English",Variables!$B$24,Variables!$C$24)</f>
        <v>$ / tonne</v>
      </c>
      <c r="E28" s="738"/>
      <c r="F28" s="738"/>
      <c r="G28" s="150" t="str">
        <f>IF(G26=0,"-",G27/G26)</f>
        <v>-</v>
      </c>
      <c r="H28" s="150" t="str">
        <f>IF(H26=0,"-",H27/H26)</f>
        <v>-</v>
      </c>
      <c r="I28" s="150" t="str">
        <f t="shared" ref="I28:K28" si="0">IF(I26=0,"-",I27/I26)</f>
        <v>-</v>
      </c>
      <c r="J28" s="150" t="str">
        <f t="shared" si="0"/>
        <v>-</v>
      </c>
      <c r="K28" s="150" t="str">
        <f t="shared" si="0"/>
        <v>-</v>
      </c>
      <c r="L28" s="71"/>
      <c r="M28" s="10"/>
    </row>
    <row r="29" spans="1:16" s="11" customFormat="1" x14ac:dyDescent="0.25">
      <c r="A29" s="32"/>
      <c r="B29" s="731" t="str">
        <f>IF(Intro!$G$20="English",O29,P29)</f>
        <v>Ventes au Canada</v>
      </c>
      <c r="C29" s="732"/>
      <c r="D29" s="732"/>
      <c r="E29" s="732"/>
      <c r="F29" s="732"/>
      <c r="G29" s="732"/>
      <c r="H29" s="732"/>
      <c r="I29" s="732"/>
      <c r="J29" s="732"/>
      <c r="K29" s="732"/>
      <c r="L29" s="71"/>
      <c r="O29" s="26" t="s">
        <v>236</v>
      </c>
      <c r="P29" s="11" t="s">
        <v>237</v>
      </c>
    </row>
    <row r="30" spans="1:16" s="207" customFormat="1" x14ac:dyDescent="0.25">
      <c r="A30" s="32"/>
      <c r="B30" s="731" t="str">
        <f>IF(Intro!$G$20="English",O30,P30)</f>
        <v>Sans soudure</v>
      </c>
      <c r="C30" s="732"/>
      <c r="D30" s="732"/>
      <c r="E30" s="732"/>
      <c r="F30" s="732"/>
      <c r="G30" s="732"/>
      <c r="H30" s="732"/>
      <c r="I30" s="732"/>
      <c r="J30" s="732"/>
      <c r="K30" s="732"/>
      <c r="L30" s="71"/>
      <c r="O30" s="26" t="s">
        <v>485</v>
      </c>
      <c r="P30" s="207" t="s">
        <v>508</v>
      </c>
    </row>
    <row r="31" spans="1:16" x14ac:dyDescent="0.25">
      <c r="B31" s="567" t="str">
        <f>IF(Intro!$G$20="English",O31,P31)</f>
        <v>Ventes aux distributeurs au Canada</v>
      </c>
      <c r="C31" s="568"/>
      <c r="D31" s="738" t="str">
        <f>D26</f>
        <v>tonnes</v>
      </c>
      <c r="E31" s="738"/>
      <c r="F31" s="738"/>
      <c r="G31" s="133"/>
      <c r="H31" s="133"/>
      <c r="I31" s="133"/>
      <c r="J31" s="133"/>
      <c r="K31" s="127"/>
      <c r="L31" s="71"/>
      <c r="M31" s="10"/>
      <c r="O31" s="10" t="str">
        <f>"Sales to "&amp;Variables!$B$26&amp;" in Canada"</f>
        <v>Sales to distributors in Canada</v>
      </c>
      <c r="P31" s="10" t="str">
        <f>"Ventes aux "&amp;Variables!$C$26&amp;" au Canada"</f>
        <v>Ventes aux distributeurs au Canada</v>
      </c>
    </row>
    <row r="32" spans="1:16" x14ac:dyDescent="0.25">
      <c r="B32" s="567"/>
      <c r="C32" s="568"/>
      <c r="D32" s="738" t="str">
        <f>IF(Intro!$G$20="English",O32,P32)</f>
        <v>valeur de vente nette rendue (CAD)</v>
      </c>
      <c r="E32" s="738"/>
      <c r="F32" s="738"/>
      <c r="G32" s="133"/>
      <c r="H32" s="133"/>
      <c r="I32" s="133"/>
      <c r="J32" s="133"/>
      <c r="K32" s="127"/>
      <c r="L32" s="71"/>
      <c r="M32" s="10"/>
      <c r="O32" s="10" t="s">
        <v>343</v>
      </c>
      <c r="P32" s="10" t="s">
        <v>342</v>
      </c>
    </row>
    <row r="33" spans="1:16" ht="15" thickBot="1" x14ac:dyDescent="0.3">
      <c r="B33" s="749"/>
      <c r="C33" s="750"/>
      <c r="D33" s="740" t="str">
        <f>D28</f>
        <v>$ / tonne</v>
      </c>
      <c r="E33" s="740"/>
      <c r="F33" s="740"/>
      <c r="G33" s="150" t="str">
        <f>IF(G31=0,"-",G32/G31)</f>
        <v>-</v>
      </c>
      <c r="H33" s="150" t="str">
        <f>IF(H31=0,"-",H32/H31)</f>
        <v>-</v>
      </c>
      <c r="I33" s="150" t="str">
        <f t="shared" ref="I33" si="1">IF(I31=0,"-",I32/I31)</f>
        <v>-</v>
      </c>
      <c r="J33" s="150" t="str">
        <f t="shared" ref="J33" si="2">IF(J31=0,"-",J32/J31)</f>
        <v>-</v>
      </c>
      <c r="K33" s="150" t="str">
        <f t="shared" ref="K33" si="3">IF(K31=0,"-",K32/K31)</f>
        <v>-</v>
      </c>
      <c r="L33" s="71"/>
      <c r="M33" s="10"/>
    </row>
    <row r="34" spans="1:16" x14ac:dyDescent="0.25">
      <c r="B34" s="751" t="str">
        <f>IF(Intro!$G$20="English",O34,P34)</f>
        <v>Ventes aux utilisateurs finals au Canada</v>
      </c>
      <c r="C34" s="752"/>
      <c r="D34" s="741" t="str">
        <f t="shared" ref="D34:D35" si="4">D31</f>
        <v>tonnes</v>
      </c>
      <c r="E34" s="741"/>
      <c r="F34" s="741"/>
      <c r="G34" s="133"/>
      <c r="H34" s="133"/>
      <c r="I34" s="133"/>
      <c r="J34" s="133"/>
      <c r="K34" s="127"/>
      <c r="L34" s="71"/>
      <c r="M34" s="10"/>
      <c r="O34" s="10" t="str">
        <f>"Sales to "&amp;Variables!$B$27&amp;" in Canada"</f>
        <v>Sales to end users in Canada</v>
      </c>
      <c r="P34" s="10" t="str">
        <f>"Ventes aux "&amp;Variables!$C$27&amp;" au Canada"</f>
        <v>Ventes aux utilisateurs finals au Canada</v>
      </c>
    </row>
    <row r="35" spans="1:16" x14ac:dyDescent="0.25">
      <c r="B35" s="567"/>
      <c r="C35" s="568"/>
      <c r="D35" s="738" t="str">
        <f t="shared" si="4"/>
        <v>valeur de vente nette rendue (CAD)</v>
      </c>
      <c r="E35" s="738"/>
      <c r="F35" s="738"/>
      <c r="G35" s="133"/>
      <c r="H35" s="133"/>
      <c r="I35" s="133"/>
      <c r="J35" s="133"/>
      <c r="K35" s="127"/>
      <c r="L35" s="71"/>
      <c r="M35" s="10"/>
    </row>
    <row r="36" spans="1:16" ht="15" thickBot="1" x14ac:dyDescent="0.3">
      <c r="B36" s="749"/>
      <c r="C36" s="750"/>
      <c r="D36" s="740" t="str">
        <f>D33</f>
        <v>$ / tonne</v>
      </c>
      <c r="E36" s="740"/>
      <c r="F36" s="740"/>
      <c r="G36" s="150" t="str">
        <f>IF(G34=0,"-",G35/G34)</f>
        <v>-</v>
      </c>
      <c r="H36" s="150" t="str">
        <f>IF(H34=0,"-",H35/H34)</f>
        <v>-</v>
      </c>
      <c r="I36" s="150" t="str">
        <f>IF(I34=0,"-",I35/I34)</f>
        <v>-</v>
      </c>
      <c r="J36" s="150" t="str">
        <f>IF(J34=0,"-",J35/J34)</f>
        <v>-</v>
      </c>
      <c r="K36" s="150" t="str">
        <f>IF(K34=0,"-",K35/K34)</f>
        <v>-</v>
      </c>
      <c r="L36" s="71"/>
      <c r="M36" s="10"/>
    </row>
    <row r="37" spans="1:16" x14ac:dyDescent="0.25">
      <c r="B37" s="731" t="str">
        <f>IF(Intro!$G$20="English",O37,P37)</f>
        <v>Soudé</v>
      </c>
      <c r="C37" s="732"/>
      <c r="D37" s="732"/>
      <c r="E37" s="732"/>
      <c r="F37" s="732"/>
      <c r="G37" s="732"/>
      <c r="H37" s="732"/>
      <c r="I37" s="732"/>
      <c r="J37" s="732"/>
      <c r="K37" s="732"/>
      <c r="L37" s="71"/>
      <c r="M37" s="10"/>
      <c r="O37" s="26" t="s">
        <v>486</v>
      </c>
      <c r="P37" s="207" t="s">
        <v>509</v>
      </c>
    </row>
    <row r="38" spans="1:16" x14ac:dyDescent="0.25">
      <c r="B38" s="567" t="str">
        <f>IF(Intro!$G$20="English",O31,P31)</f>
        <v>Ventes aux distributeurs au Canada</v>
      </c>
      <c r="C38" s="568"/>
      <c r="D38" s="738" t="str">
        <f>D34</f>
        <v>tonnes</v>
      </c>
      <c r="E38" s="738"/>
      <c r="F38" s="738"/>
      <c r="G38" s="133"/>
      <c r="H38" s="133"/>
      <c r="I38" s="133"/>
      <c r="J38" s="133"/>
      <c r="K38" s="127"/>
      <c r="L38" s="71"/>
      <c r="M38" s="10"/>
      <c r="O38" s="10" t="s">
        <v>343</v>
      </c>
      <c r="P38" s="10" t="s">
        <v>342</v>
      </c>
    </row>
    <row r="39" spans="1:16" x14ac:dyDescent="0.25">
      <c r="B39" s="567"/>
      <c r="C39" s="568"/>
      <c r="D39" s="738" t="str">
        <f>IF(Intro!$G$20="English",O38,P38)</f>
        <v>valeur de vente nette rendue (CAD)</v>
      </c>
      <c r="E39" s="738"/>
      <c r="F39" s="738"/>
      <c r="G39" s="133"/>
      <c r="H39" s="133"/>
      <c r="I39" s="133"/>
      <c r="J39" s="133"/>
      <c r="K39" s="127"/>
      <c r="L39" s="71"/>
      <c r="M39" s="10"/>
    </row>
    <row r="40" spans="1:16" ht="15" thickBot="1" x14ac:dyDescent="0.3">
      <c r="B40" s="749"/>
      <c r="C40" s="750"/>
      <c r="D40" s="740" t="str">
        <f>D36</f>
        <v>$ / tonne</v>
      </c>
      <c r="E40" s="740"/>
      <c r="F40" s="740"/>
      <c r="G40" s="150" t="str">
        <f>IF(G38=0,"-",G39/G38)</f>
        <v>-</v>
      </c>
      <c r="H40" s="150" t="str">
        <f>IF(H38=0,"-",H39/H38)</f>
        <v>-</v>
      </c>
      <c r="I40" s="150" t="str">
        <f t="shared" ref="I40:K40" si="5">IF(I38=0,"-",I39/I38)</f>
        <v>-</v>
      </c>
      <c r="J40" s="150" t="str">
        <f t="shared" si="5"/>
        <v>-</v>
      </c>
      <c r="K40" s="150" t="str">
        <f t="shared" si="5"/>
        <v>-</v>
      </c>
      <c r="L40" s="71"/>
      <c r="M40" s="10"/>
      <c r="O40" s="10" t="str">
        <f>"Sales to "&amp;Variables!$B$27&amp;" in Canada"</f>
        <v>Sales to end users in Canada</v>
      </c>
      <c r="P40" s="10" t="str">
        <f>"Ventes aux "&amp;Variables!$C$27&amp;" au Canada"</f>
        <v>Ventes aux utilisateurs finals au Canada</v>
      </c>
    </row>
    <row r="41" spans="1:16" x14ac:dyDescent="0.25">
      <c r="B41" s="751" t="str">
        <f>IF(Intro!$G$20="English",O34,P34)</f>
        <v>Ventes aux utilisateurs finals au Canada</v>
      </c>
      <c r="C41" s="752"/>
      <c r="D41" s="741" t="str">
        <f t="shared" ref="D41:D42" si="6">D38</f>
        <v>tonnes</v>
      </c>
      <c r="E41" s="741"/>
      <c r="F41" s="741"/>
      <c r="G41" s="133"/>
      <c r="H41" s="133"/>
      <c r="I41" s="133"/>
      <c r="J41" s="133"/>
      <c r="K41" s="127"/>
      <c r="L41" s="71"/>
      <c r="M41" s="10"/>
    </row>
    <row r="42" spans="1:16" x14ac:dyDescent="0.25">
      <c r="B42" s="567"/>
      <c r="C42" s="568"/>
      <c r="D42" s="738" t="str">
        <f t="shared" si="6"/>
        <v>valeur de vente nette rendue (CAD)</v>
      </c>
      <c r="E42" s="738"/>
      <c r="F42" s="738"/>
      <c r="G42" s="133"/>
      <c r="H42" s="133"/>
      <c r="I42" s="133"/>
      <c r="J42" s="133"/>
      <c r="K42" s="127"/>
      <c r="L42" s="71"/>
      <c r="M42" s="10"/>
    </row>
    <row r="43" spans="1:16" ht="15" thickBot="1" x14ac:dyDescent="0.3">
      <c r="B43" s="749"/>
      <c r="C43" s="750"/>
      <c r="D43" s="740" t="str">
        <f>D40</f>
        <v>$ / tonne</v>
      </c>
      <c r="E43" s="740"/>
      <c r="F43" s="740"/>
      <c r="G43" s="150" t="str">
        <f>IF(G41=0,"-",G42/G41)</f>
        <v>-</v>
      </c>
      <c r="H43" s="150" t="str">
        <f>IF(H41=0,"-",H42/H41)</f>
        <v>-</v>
      </c>
      <c r="I43" s="150" t="str">
        <f>IF(I41=0,"-",I42/I41)</f>
        <v>-</v>
      </c>
      <c r="J43" s="150" t="str">
        <f>IF(J41=0,"-",J42/J41)</f>
        <v>-</v>
      </c>
      <c r="K43" s="150" t="str">
        <f>IF(K41=0,"-",K42/K41)</f>
        <v>-</v>
      </c>
      <c r="L43" s="71"/>
      <c r="M43" s="10"/>
    </row>
    <row r="44" spans="1:16" x14ac:dyDescent="0.25">
      <c r="B44" s="634" t="str">
        <f>IF(Intro!$G$20="English",O44,P44)</f>
        <v>Ventes totales au Canada</v>
      </c>
      <c r="C44" s="635"/>
      <c r="D44" s="766" t="str">
        <f>D34</f>
        <v>tonnes</v>
      </c>
      <c r="E44" s="766"/>
      <c r="F44" s="766"/>
      <c r="G44" s="135">
        <f t="shared" ref="G44:K45" si="7">G31+G34+G38+G41</f>
        <v>0</v>
      </c>
      <c r="H44" s="135">
        <f t="shared" si="7"/>
        <v>0</v>
      </c>
      <c r="I44" s="135">
        <f t="shared" si="7"/>
        <v>0</v>
      </c>
      <c r="J44" s="135">
        <f t="shared" si="7"/>
        <v>0</v>
      </c>
      <c r="K44" s="135">
        <f t="shared" si="7"/>
        <v>0</v>
      </c>
      <c r="L44" s="71"/>
      <c r="M44" s="10"/>
      <c r="O44" s="10" t="s">
        <v>344</v>
      </c>
      <c r="P44" s="10" t="s">
        <v>345</v>
      </c>
    </row>
    <row r="45" spans="1:16" x14ac:dyDescent="0.25">
      <c r="B45" s="623"/>
      <c r="C45" s="624"/>
      <c r="D45" s="767" t="str">
        <f>D35</f>
        <v>valeur de vente nette rendue (CAD)</v>
      </c>
      <c r="E45" s="767"/>
      <c r="F45" s="767"/>
      <c r="G45" s="134">
        <f t="shared" si="7"/>
        <v>0</v>
      </c>
      <c r="H45" s="134">
        <f t="shared" si="7"/>
        <v>0</v>
      </c>
      <c r="I45" s="134">
        <f t="shared" si="7"/>
        <v>0</v>
      </c>
      <c r="J45" s="134">
        <f t="shared" si="7"/>
        <v>0</v>
      </c>
      <c r="K45" s="134">
        <f t="shared" si="7"/>
        <v>0</v>
      </c>
      <c r="L45" s="71"/>
      <c r="M45" s="10"/>
    </row>
    <row r="46" spans="1:16" x14ac:dyDescent="0.25">
      <c r="B46" s="623"/>
      <c r="C46" s="624"/>
      <c r="D46" s="767" t="str">
        <f>D36</f>
        <v>$ / tonne</v>
      </c>
      <c r="E46" s="767"/>
      <c r="F46" s="767"/>
      <c r="G46" s="150" t="str">
        <f>IF(G44=0,"-",G45/G44)</f>
        <v>-</v>
      </c>
      <c r="H46" s="150" t="str">
        <f>IF(H44=0,"-",H45/H44)</f>
        <v>-</v>
      </c>
      <c r="I46" s="150" t="str">
        <f>IF(I44=0,"-",I45/I44)</f>
        <v>-</v>
      </c>
      <c r="J46" s="150" t="str">
        <f t="shared" ref="J46:K46" si="8">IF(J44=0,"-",J45/J44)</f>
        <v>-</v>
      </c>
      <c r="K46" s="150" t="str">
        <f t="shared" si="8"/>
        <v>-</v>
      </c>
      <c r="L46" s="71"/>
      <c r="M46" s="10"/>
    </row>
    <row r="47" spans="1:16" x14ac:dyDescent="0.25">
      <c r="B47" s="72"/>
      <c r="C47" s="69"/>
      <c r="D47" s="69"/>
      <c r="E47" s="69"/>
      <c r="F47" s="69"/>
      <c r="G47" s="69"/>
      <c r="H47" s="69"/>
      <c r="I47" s="69"/>
      <c r="J47" s="69"/>
      <c r="K47" s="69"/>
      <c r="L47" s="70"/>
      <c r="M47" s="10"/>
    </row>
    <row r="48" spans="1:16" s="11" customFormat="1" x14ac:dyDescent="0.25">
      <c r="A48" s="7"/>
      <c r="B48" s="31"/>
      <c r="C48" s="31"/>
      <c r="D48" s="89"/>
      <c r="E48" s="90"/>
      <c r="F48" s="90"/>
      <c r="G48" s="90"/>
      <c r="H48" s="90"/>
      <c r="I48" s="90"/>
      <c r="J48" s="90"/>
      <c r="K48" s="90"/>
      <c r="L48" s="90"/>
      <c r="M48" s="73"/>
    </row>
    <row r="49" spans="1:16" x14ac:dyDescent="0.25">
      <c r="B49" s="533" t="str">
        <f>IF(Intro!$G$20="English",O49,P49)</f>
        <v>VENTES AU CANADA D'IMPORTATIONS À VOS CINQ PLUS IMPORTANTS CLIENTS</v>
      </c>
      <c r="C49" s="534"/>
      <c r="D49" s="534"/>
      <c r="E49" s="534"/>
      <c r="F49" s="534"/>
      <c r="G49" s="534"/>
      <c r="H49" s="534"/>
      <c r="I49" s="534"/>
      <c r="J49" s="534"/>
      <c r="K49" s="534"/>
      <c r="L49" s="535"/>
      <c r="M49" s="10"/>
      <c r="O49" s="105" t="s">
        <v>335</v>
      </c>
      <c r="P49" s="105" t="s">
        <v>397</v>
      </c>
    </row>
    <row r="50" spans="1:16" s="11" customFormat="1" x14ac:dyDescent="0.25">
      <c r="A50" s="7"/>
      <c r="B50" s="671" t="s">
        <v>15</v>
      </c>
      <c r="C50" s="672"/>
      <c r="D50" s="672"/>
      <c r="E50" s="672"/>
      <c r="F50" s="672"/>
      <c r="G50" s="672"/>
      <c r="H50" s="672"/>
      <c r="I50" s="672"/>
      <c r="J50" s="672"/>
      <c r="K50" s="672"/>
      <c r="L50" s="673"/>
      <c r="M50" s="73"/>
      <c r="O50" s="10"/>
    </row>
    <row r="51" spans="1:16" x14ac:dyDescent="0.25">
      <c r="B51" s="16"/>
      <c r="C51" s="35"/>
      <c r="D51" s="35"/>
      <c r="E51" s="36"/>
      <c r="F51" s="36"/>
      <c r="G51" s="36"/>
      <c r="H51" s="36"/>
      <c r="I51" s="36"/>
      <c r="J51" s="36"/>
      <c r="K51" s="36"/>
      <c r="L51" s="17"/>
      <c r="M51" s="10"/>
    </row>
    <row r="52" spans="1:16" x14ac:dyDescent="0.25">
      <c r="B52" s="530" t="str">
        <f>IF(Intro!$G$20="English",O52,P52)</f>
        <v>Déclarez le volume et la valeur des ventes d'importations au Canada pour chaque compte indiqué ci-dessous :</v>
      </c>
      <c r="C52" s="531"/>
      <c r="D52" s="531"/>
      <c r="E52" s="531"/>
      <c r="F52" s="531"/>
      <c r="G52" s="531"/>
      <c r="H52" s="531"/>
      <c r="I52" s="531"/>
      <c r="J52" s="531"/>
      <c r="K52" s="531"/>
      <c r="L52" s="532"/>
      <c r="M52" s="10"/>
      <c r="O52" s="18" t="s">
        <v>172</v>
      </c>
      <c r="P52" s="10" t="s">
        <v>173</v>
      </c>
    </row>
    <row r="53" spans="1:16" x14ac:dyDescent="0.25">
      <c r="B53" s="530" t="str">
        <f>Pro!B22</f>
        <v>Note - Ne répondez à cette question que si votre entreprise a vendu les marchandises du 1er janvier 2023 au 31 mars 2026.</v>
      </c>
      <c r="C53" s="531"/>
      <c r="D53" s="531"/>
      <c r="E53" s="531"/>
      <c r="F53" s="531"/>
      <c r="G53" s="531"/>
      <c r="H53" s="531"/>
      <c r="I53" s="531"/>
      <c r="J53" s="531"/>
      <c r="K53" s="531"/>
      <c r="L53" s="532"/>
      <c r="M53" s="10"/>
      <c r="O53" s="18"/>
    </row>
    <row r="54" spans="1:16" x14ac:dyDescent="0.25">
      <c r="B54" s="61"/>
      <c r="C54" s="62"/>
      <c r="D54" s="35"/>
      <c r="E54" s="36"/>
      <c r="F54" s="36"/>
      <c r="G54" s="36"/>
      <c r="H54" s="36"/>
      <c r="I54" s="36"/>
      <c r="J54" s="36"/>
      <c r="K54" s="36"/>
      <c r="L54" s="17"/>
      <c r="M54" s="10"/>
      <c r="O54" s="18"/>
    </row>
    <row r="55" spans="1:16" x14ac:dyDescent="0.25">
      <c r="B55" s="772"/>
      <c r="C55" s="773"/>
      <c r="D55" s="774"/>
      <c r="E55" s="125" t="str">
        <f>IF(Intro!$G$20="English","Q","T")&amp;IF(MID(F55,2,1)&lt;&gt;"1",MID(F55,2,1)-1&amp;" - "&amp;MID(F55,6,4),"4 - "&amp;MID(F55,6,4)-1)</f>
        <v>T2 - 2024</v>
      </c>
      <c r="F55" s="125" t="str">
        <f>IF(Intro!$G$20="English","Q","T")&amp;IF(MID(G55,2,1)&lt;&gt;"1",MID(G55,2,1)-1&amp;" - "&amp;MID(G55,6,4),"4 - "&amp;MID(G55,6,4)-1)</f>
        <v>T3 - 2024</v>
      </c>
      <c r="G55" s="125" t="str">
        <f>IF(Intro!$G$20="English","Q","T")&amp;IF(MID(H55,2,1)&lt;&gt;"1",MID(H55,2,1)-1&amp;" - "&amp;MID(H55,6,4),"4 - "&amp;MID(H55,6,4)-1)</f>
        <v>T4 - 2024</v>
      </c>
      <c r="H55" s="125" t="str">
        <f>IF(Intro!$G$20="English","Q","T")&amp;IF(MID(I55,2,1)&lt;&gt;"1",MID(I55,2,1)-1&amp;" - "&amp;MID(I55,6,4),"4 - "&amp;MID(I55,6,4)-1)</f>
        <v>T1 - 2025</v>
      </c>
      <c r="I55" s="125" t="str">
        <f>IF(Intro!$G$20="English","Q","T")&amp;IF(MID(J55,2,1)&lt;&gt;"1",MID(J55,2,1)-1&amp;" - "&amp;MID(J55,6,4),"4 - "&amp;MID(J55,6,4)-1)</f>
        <v>T2 - 2025</v>
      </c>
      <c r="J55" s="125" t="str">
        <f>IF(Intro!$G$20="English","Q","T")&amp;IF(MID(K55,2,1)&lt;&gt;"1",MID(K55,2,1)-1&amp;" - "&amp;MID(K55,6,4),"4 - "&amp;MID(K55,6,4)-1)</f>
        <v>T3 - 2025</v>
      </c>
      <c r="K55" s="125" t="str">
        <f>IF(Intro!$G$20="English","Q","T")&amp;IF(MID(L55,2,1)&lt;&gt;"1",MID(L55,2,1)-1&amp;" - "&amp;MID(L55,6,4),"4 - "&amp;MID(L55,6,4)-1)</f>
        <v>T4 - 2025</v>
      </c>
      <c r="L55" s="136" t="str">
        <f>IF(Intro!$G$20="English",Variables!B29&amp;" - ",Variables!C29&amp;" - ")&amp;Variables!B8</f>
        <v>T1 - 2026</v>
      </c>
      <c r="M55" s="10"/>
      <c r="O55" s="18"/>
    </row>
    <row r="56" spans="1:16" x14ac:dyDescent="0.25">
      <c r="B56" s="733" t="str">
        <f>IF(Intro!$G$20="English",O57,P57)</f>
        <v xml:space="preserve">Client 1 - </v>
      </c>
      <c r="C56" s="734"/>
      <c r="D56" s="734"/>
      <c r="E56" s="734"/>
      <c r="F56" s="734"/>
      <c r="G56" s="734"/>
      <c r="H56" s="734"/>
      <c r="I56" s="734"/>
      <c r="J56" s="734"/>
      <c r="K56" s="734"/>
      <c r="L56" s="735"/>
      <c r="M56" s="10"/>
      <c r="O56" s="18"/>
    </row>
    <row r="57" spans="1:16" x14ac:dyDescent="0.25">
      <c r="B57" s="747" t="str">
        <f>D$31</f>
        <v>tonnes</v>
      </c>
      <c r="C57" s="748"/>
      <c r="D57" s="748"/>
      <c r="E57" s="137"/>
      <c r="F57" s="137"/>
      <c r="G57" s="137"/>
      <c r="H57" s="137"/>
      <c r="I57" s="137"/>
      <c r="J57" s="137"/>
      <c r="K57" s="137"/>
      <c r="L57" s="138"/>
      <c r="M57" s="10"/>
      <c r="O57" s="10" t="str">
        <f>"Account 1 - "&amp;Pro!C119</f>
        <v xml:space="preserve">Account 1 - </v>
      </c>
      <c r="P57" s="10" t="str">
        <f>"Client 1 - "&amp;Pro!C119</f>
        <v xml:space="preserve">Client 1 - </v>
      </c>
    </row>
    <row r="58" spans="1:16" x14ac:dyDescent="0.25">
      <c r="B58" s="747" t="str">
        <f>D$32</f>
        <v>valeur de vente nette rendue (CAD)</v>
      </c>
      <c r="C58" s="748"/>
      <c r="D58" s="748"/>
      <c r="E58" s="137"/>
      <c r="F58" s="137"/>
      <c r="G58" s="137"/>
      <c r="H58" s="137"/>
      <c r="I58" s="137"/>
      <c r="J58" s="137"/>
      <c r="K58" s="137"/>
      <c r="L58" s="138"/>
      <c r="M58" s="10"/>
    </row>
    <row r="59" spans="1:16" x14ac:dyDescent="0.25">
      <c r="B59" s="747" t="str">
        <f>D$33</f>
        <v>$ / tonne</v>
      </c>
      <c r="C59" s="748"/>
      <c r="D59" s="748"/>
      <c r="E59" s="151" t="str">
        <f>IF(E57=0,"-",E58/E57)</f>
        <v>-</v>
      </c>
      <c r="F59" s="151" t="str">
        <f t="shared" ref="F59:L59" si="9">IF(F57=0,"-",F58/F57)</f>
        <v>-</v>
      </c>
      <c r="G59" s="151" t="str">
        <f t="shared" si="9"/>
        <v>-</v>
      </c>
      <c r="H59" s="151" t="str">
        <f t="shared" si="9"/>
        <v>-</v>
      </c>
      <c r="I59" s="151" t="str">
        <f t="shared" si="9"/>
        <v>-</v>
      </c>
      <c r="J59" s="151" t="str">
        <f t="shared" si="9"/>
        <v>-</v>
      </c>
      <c r="K59" s="151" t="str">
        <f t="shared" si="9"/>
        <v>-</v>
      </c>
      <c r="L59" s="152" t="str">
        <f t="shared" si="9"/>
        <v>-</v>
      </c>
      <c r="M59" s="10"/>
    </row>
    <row r="60" spans="1:16" x14ac:dyDescent="0.25">
      <c r="B60" s="733" t="str">
        <f>IF(Intro!$G$20="English",O61,P61)</f>
        <v xml:space="preserve">Client 2 - </v>
      </c>
      <c r="C60" s="734"/>
      <c r="D60" s="734"/>
      <c r="E60" s="734"/>
      <c r="F60" s="734"/>
      <c r="G60" s="734"/>
      <c r="H60" s="734"/>
      <c r="I60" s="734"/>
      <c r="J60" s="734"/>
      <c r="K60" s="734"/>
      <c r="L60" s="735"/>
      <c r="M60" s="10"/>
    </row>
    <row r="61" spans="1:16" x14ac:dyDescent="0.25">
      <c r="B61" s="747" t="str">
        <f>D$31</f>
        <v>tonnes</v>
      </c>
      <c r="C61" s="748"/>
      <c r="D61" s="748"/>
      <c r="E61" s="137"/>
      <c r="F61" s="137"/>
      <c r="G61" s="137"/>
      <c r="H61" s="137"/>
      <c r="I61" s="137"/>
      <c r="J61" s="137"/>
      <c r="K61" s="137"/>
      <c r="L61" s="138"/>
      <c r="M61" s="10"/>
      <c r="O61" s="10" t="str">
        <f>"Account 2 - "&amp;Pro!C120</f>
        <v xml:space="preserve">Account 2 - </v>
      </c>
      <c r="P61" s="10" t="str">
        <f>"Client 2 - "&amp;Pro!C120</f>
        <v xml:space="preserve">Client 2 - </v>
      </c>
    </row>
    <row r="62" spans="1:16" x14ac:dyDescent="0.25">
      <c r="B62" s="747" t="str">
        <f>D$32</f>
        <v>valeur de vente nette rendue (CAD)</v>
      </c>
      <c r="C62" s="748"/>
      <c r="D62" s="748"/>
      <c r="E62" s="137"/>
      <c r="F62" s="137"/>
      <c r="G62" s="137"/>
      <c r="H62" s="137"/>
      <c r="I62" s="137"/>
      <c r="J62" s="137"/>
      <c r="K62" s="137"/>
      <c r="L62" s="138"/>
      <c r="M62" s="10"/>
    </row>
    <row r="63" spans="1:16" x14ac:dyDescent="0.25">
      <c r="B63" s="747" t="str">
        <f>D$33</f>
        <v>$ / tonne</v>
      </c>
      <c r="C63" s="748"/>
      <c r="D63" s="748"/>
      <c r="E63" s="151" t="str">
        <f>IF(E61=0,"-",E62/E61)</f>
        <v>-</v>
      </c>
      <c r="F63" s="151" t="str">
        <f t="shared" ref="F63" si="10">IF(F61=0,"-",F62/F61)</f>
        <v>-</v>
      </c>
      <c r="G63" s="151" t="str">
        <f t="shared" ref="G63" si="11">IF(G61=0,"-",G62/G61)</f>
        <v>-</v>
      </c>
      <c r="H63" s="151" t="str">
        <f t="shared" ref="H63" si="12">IF(H61=0,"-",H62/H61)</f>
        <v>-</v>
      </c>
      <c r="I63" s="151" t="str">
        <f t="shared" ref="I63" si="13">IF(I61=0,"-",I62/I61)</f>
        <v>-</v>
      </c>
      <c r="J63" s="151" t="str">
        <f t="shared" ref="J63" si="14">IF(J61=0,"-",J62/J61)</f>
        <v>-</v>
      </c>
      <c r="K63" s="151" t="str">
        <f t="shared" ref="K63" si="15">IF(K61=0,"-",K62/K61)</f>
        <v>-</v>
      </c>
      <c r="L63" s="152" t="str">
        <f t="shared" ref="L63" si="16">IF(L61=0,"-",L62/L61)</f>
        <v>-</v>
      </c>
      <c r="M63" s="10"/>
    </row>
    <row r="64" spans="1:16" x14ac:dyDescent="0.25">
      <c r="B64" s="733" t="str">
        <f>IF(Intro!$G$20="English",O65,P65)</f>
        <v xml:space="preserve">Client 3 - </v>
      </c>
      <c r="C64" s="734"/>
      <c r="D64" s="734"/>
      <c r="E64" s="734"/>
      <c r="F64" s="734"/>
      <c r="G64" s="734"/>
      <c r="H64" s="734"/>
      <c r="I64" s="734"/>
      <c r="J64" s="734"/>
      <c r="K64" s="734"/>
      <c r="L64" s="735"/>
      <c r="M64" s="10"/>
    </row>
    <row r="65" spans="2:19" x14ac:dyDescent="0.25">
      <c r="B65" s="747" t="str">
        <f>D$31</f>
        <v>tonnes</v>
      </c>
      <c r="C65" s="748"/>
      <c r="D65" s="748"/>
      <c r="E65" s="137"/>
      <c r="F65" s="137"/>
      <c r="G65" s="137"/>
      <c r="H65" s="137"/>
      <c r="I65" s="137"/>
      <c r="J65" s="137"/>
      <c r="K65" s="137"/>
      <c r="L65" s="138"/>
      <c r="M65" s="10"/>
      <c r="O65" s="10" t="str">
        <f>"Account 3 - "&amp;Pro!C121</f>
        <v xml:space="preserve">Account 3 - </v>
      </c>
      <c r="P65" s="10" t="str">
        <f>"Client 3 - "&amp;Pro!C121</f>
        <v xml:space="preserve">Client 3 - </v>
      </c>
    </row>
    <row r="66" spans="2:19" x14ac:dyDescent="0.25">
      <c r="B66" s="747" t="str">
        <f>D$32</f>
        <v>valeur de vente nette rendue (CAD)</v>
      </c>
      <c r="C66" s="748"/>
      <c r="D66" s="748"/>
      <c r="E66" s="137"/>
      <c r="F66" s="137"/>
      <c r="G66" s="137"/>
      <c r="H66" s="137"/>
      <c r="I66" s="137"/>
      <c r="J66" s="137"/>
      <c r="K66" s="137"/>
      <c r="L66" s="138"/>
      <c r="M66" s="10"/>
    </row>
    <row r="67" spans="2:19" x14ac:dyDescent="0.25">
      <c r="B67" s="747" t="str">
        <f>D$33</f>
        <v>$ / tonne</v>
      </c>
      <c r="C67" s="748"/>
      <c r="D67" s="748"/>
      <c r="E67" s="151" t="str">
        <f>IF(E65=0,"-",E66/E65)</f>
        <v>-</v>
      </c>
      <c r="F67" s="151" t="str">
        <f t="shared" ref="F67" si="17">IF(F65=0,"-",F66/F65)</f>
        <v>-</v>
      </c>
      <c r="G67" s="151" t="str">
        <f t="shared" ref="G67" si="18">IF(G65=0,"-",G66/G65)</f>
        <v>-</v>
      </c>
      <c r="H67" s="151" t="str">
        <f t="shared" ref="H67" si="19">IF(H65=0,"-",H66/H65)</f>
        <v>-</v>
      </c>
      <c r="I67" s="151" t="str">
        <f t="shared" ref="I67" si="20">IF(I65=0,"-",I66/I65)</f>
        <v>-</v>
      </c>
      <c r="J67" s="151" t="str">
        <f t="shared" ref="J67" si="21">IF(J65=0,"-",J66/J65)</f>
        <v>-</v>
      </c>
      <c r="K67" s="151" t="str">
        <f t="shared" ref="K67" si="22">IF(K65=0,"-",K66/K65)</f>
        <v>-</v>
      </c>
      <c r="L67" s="152" t="str">
        <f t="shared" ref="L67" si="23">IF(L65=0,"-",L66/L65)</f>
        <v>-</v>
      </c>
      <c r="M67" s="10"/>
    </row>
    <row r="68" spans="2:19" x14ac:dyDescent="0.25">
      <c r="B68" s="733" t="str">
        <f>IF(Intro!$G$20="English",O69,P69)</f>
        <v xml:space="preserve">Client 4 - </v>
      </c>
      <c r="C68" s="734"/>
      <c r="D68" s="734"/>
      <c r="E68" s="734"/>
      <c r="F68" s="734"/>
      <c r="G68" s="734"/>
      <c r="H68" s="734"/>
      <c r="I68" s="734"/>
      <c r="J68" s="734"/>
      <c r="K68" s="734"/>
      <c r="L68" s="735"/>
      <c r="M68" s="10"/>
    </row>
    <row r="69" spans="2:19" x14ac:dyDescent="0.25">
      <c r="B69" s="747" t="str">
        <f>D$31</f>
        <v>tonnes</v>
      </c>
      <c r="C69" s="748"/>
      <c r="D69" s="748"/>
      <c r="E69" s="137"/>
      <c r="F69" s="137"/>
      <c r="G69" s="137"/>
      <c r="H69" s="137"/>
      <c r="I69" s="137"/>
      <c r="J69" s="137"/>
      <c r="K69" s="137"/>
      <c r="L69" s="138"/>
      <c r="M69" s="10"/>
      <c r="O69" s="10" t="str">
        <f>"Account 4 - "&amp;Pro!C122</f>
        <v xml:space="preserve">Account 4 - </v>
      </c>
      <c r="P69" s="10" t="str">
        <f>"Client 4 - "&amp;Pro!C122</f>
        <v xml:space="preserve">Client 4 - </v>
      </c>
    </row>
    <row r="70" spans="2:19" x14ac:dyDescent="0.25">
      <c r="B70" s="747" t="str">
        <f>D$32</f>
        <v>valeur de vente nette rendue (CAD)</v>
      </c>
      <c r="C70" s="748"/>
      <c r="D70" s="748"/>
      <c r="E70" s="137"/>
      <c r="F70" s="137"/>
      <c r="G70" s="137"/>
      <c r="H70" s="137"/>
      <c r="I70" s="137"/>
      <c r="J70" s="137"/>
      <c r="K70" s="137"/>
      <c r="L70" s="138"/>
      <c r="M70" s="10"/>
    </row>
    <row r="71" spans="2:19" x14ac:dyDescent="0.25">
      <c r="B71" s="747" t="str">
        <f>D$33</f>
        <v>$ / tonne</v>
      </c>
      <c r="C71" s="748"/>
      <c r="D71" s="748"/>
      <c r="E71" s="151" t="str">
        <f>IF(E69=0,"-",E70/E69)</f>
        <v>-</v>
      </c>
      <c r="F71" s="151" t="str">
        <f t="shared" ref="F71" si="24">IF(F69=0,"-",F70/F69)</f>
        <v>-</v>
      </c>
      <c r="G71" s="151" t="str">
        <f t="shared" ref="G71" si="25">IF(G69=0,"-",G70/G69)</f>
        <v>-</v>
      </c>
      <c r="H71" s="151" t="str">
        <f t="shared" ref="H71" si="26">IF(H69=0,"-",H70/H69)</f>
        <v>-</v>
      </c>
      <c r="I71" s="151" t="str">
        <f t="shared" ref="I71" si="27">IF(I69=0,"-",I70/I69)</f>
        <v>-</v>
      </c>
      <c r="J71" s="151" t="str">
        <f t="shared" ref="J71" si="28">IF(J69=0,"-",J70/J69)</f>
        <v>-</v>
      </c>
      <c r="K71" s="151" t="str">
        <f t="shared" ref="K71" si="29">IF(K69=0,"-",K70/K69)</f>
        <v>-</v>
      </c>
      <c r="L71" s="152" t="str">
        <f t="shared" ref="L71" si="30">IF(L69=0,"-",L70/L69)</f>
        <v>-</v>
      </c>
      <c r="M71" s="10"/>
    </row>
    <row r="72" spans="2:19" x14ac:dyDescent="0.25">
      <c r="B72" s="733" t="str">
        <f>IF(Intro!$G$20="English",O73,P73)</f>
        <v xml:space="preserve">Client 5 - </v>
      </c>
      <c r="C72" s="734"/>
      <c r="D72" s="734"/>
      <c r="E72" s="734"/>
      <c r="F72" s="734"/>
      <c r="G72" s="734"/>
      <c r="H72" s="734"/>
      <c r="I72" s="734"/>
      <c r="J72" s="734"/>
      <c r="K72" s="734"/>
      <c r="L72" s="735"/>
      <c r="M72" s="10"/>
    </row>
    <row r="73" spans="2:19" x14ac:dyDescent="0.25">
      <c r="B73" s="747" t="str">
        <f>D$31</f>
        <v>tonnes</v>
      </c>
      <c r="C73" s="748"/>
      <c r="D73" s="748"/>
      <c r="E73" s="137"/>
      <c r="F73" s="137"/>
      <c r="G73" s="137"/>
      <c r="H73" s="137"/>
      <c r="I73" s="137"/>
      <c r="J73" s="137"/>
      <c r="K73" s="137"/>
      <c r="L73" s="138"/>
      <c r="M73" s="10"/>
      <c r="O73" s="10" t="str">
        <f>"Account 5 - "&amp;Pro!C123</f>
        <v xml:space="preserve">Account 5 - </v>
      </c>
      <c r="P73" s="10" t="str">
        <f>"Client 5 - "&amp;Pro!C123</f>
        <v xml:space="preserve">Client 5 - </v>
      </c>
    </row>
    <row r="74" spans="2:19" x14ac:dyDescent="0.25">
      <c r="B74" s="747" t="str">
        <f>D$32</f>
        <v>valeur de vente nette rendue (CAD)</v>
      </c>
      <c r="C74" s="748"/>
      <c r="D74" s="748"/>
      <c r="E74" s="137"/>
      <c r="F74" s="137"/>
      <c r="G74" s="137"/>
      <c r="H74" s="137"/>
      <c r="I74" s="137"/>
      <c r="J74" s="137"/>
      <c r="K74" s="137"/>
      <c r="L74" s="138"/>
      <c r="M74" s="10"/>
    </row>
    <row r="75" spans="2:19" x14ac:dyDescent="0.25">
      <c r="B75" s="747" t="str">
        <f>D$33</f>
        <v>$ / tonne</v>
      </c>
      <c r="C75" s="748"/>
      <c r="D75" s="748"/>
      <c r="E75" s="151" t="str">
        <f>IF(E73=0,"-",E74/E73)</f>
        <v>-</v>
      </c>
      <c r="F75" s="151" t="str">
        <f t="shared" ref="F75" si="31">IF(F73=0,"-",F74/F73)</f>
        <v>-</v>
      </c>
      <c r="G75" s="151" t="str">
        <f t="shared" ref="G75" si="32">IF(G73=0,"-",G74/G73)</f>
        <v>-</v>
      </c>
      <c r="H75" s="151" t="str">
        <f t="shared" ref="H75" si="33">IF(H73=0,"-",H74/H73)</f>
        <v>-</v>
      </c>
      <c r="I75" s="151" t="str">
        <f t="shared" ref="I75" si="34">IF(I73=0,"-",I74/I73)</f>
        <v>-</v>
      </c>
      <c r="J75" s="151" t="str">
        <f t="shared" ref="J75" si="35">IF(J73=0,"-",J74/J73)</f>
        <v>-</v>
      </c>
      <c r="K75" s="151" t="str">
        <f t="shared" ref="K75" si="36">IF(K73=0,"-",K74/K73)</f>
        <v>-</v>
      </c>
      <c r="L75" s="152" t="str">
        <f t="shared" ref="L75" si="37">IF(L73=0,"-",L74/L73)</f>
        <v>-</v>
      </c>
      <c r="M75" s="10"/>
    </row>
    <row r="76" spans="2:19" x14ac:dyDescent="0.25">
      <c r="B76" s="113"/>
      <c r="C76" s="114"/>
      <c r="D76" s="114"/>
      <c r="E76" s="29"/>
      <c r="F76" s="29"/>
      <c r="G76" s="29"/>
      <c r="H76" s="29"/>
      <c r="I76" s="29"/>
      <c r="J76" s="29"/>
      <c r="K76" s="29"/>
      <c r="L76" s="30"/>
      <c r="M76" s="10"/>
    </row>
    <row r="77" spans="2:19" x14ac:dyDescent="0.25">
      <c r="B77" s="530" t="str">
        <f>IF(Intro!$G$20="English",O77,P77)</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7" s="531"/>
      <c r="D77" s="531"/>
      <c r="E77" s="531"/>
      <c r="F77" s="531"/>
      <c r="G77" s="531"/>
      <c r="H77" s="531"/>
      <c r="I77" s="531"/>
      <c r="J77" s="531"/>
      <c r="K77" s="531"/>
      <c r="L77" s="532"/>
      <c r="M77" s="10"/>
      <c r="O77" s="10" t="s">
        <v>359</v>
      </c>
      <c r="P77" s="10" t="s">
        <v>360</v>
      </c>
      <c r="S77" s="38"/>
    </row>
    <row r="78" spans="2:19" x14ac:dyDescent="0.25">
      <c r="B78" s="530"/>
      <c r="C78" s="531"/>
      <c r="D78" s="531"/>
      <c r="E78" s="531"/>
      <c r="F78" s="531"/>
      <c r="G78" s="531"/>
      <c r="H78" s="531"/>
      <c r="I78" s="531"/>
      <c r="J78" s="531"/>
      <c r="K78" s="531"/>
      <c r="L78" s="532"/>
      <c r="M78" s="10"/>
      <c r="S78" s="38"/>
    </row>
    <row r="79" spans="2:19" x14ac:dyDescent="0.25">
      <c r="B79" s="61"/>
      <c r="C79" s="62"/>
      <c r="D79" s="62"/>
      <c r="E79" s="29"/>
      <c r="F79" s="29"/>
      <c r="G79" s="29"/>
      <c r="H79" s="29"/>
      <c r="I79" s="29"/>
      <c r="J79" s="29"/>
      <c r="K79" s="29"/>
      <c r="L79" s="30"/>
      <c r="M79" s="10"/>
      <c r="S79" s="38"/>
    </row>
    <row r="80" spans="2:19" ht="14.1" customHeight="1" x14ac:dyDescent="0.25">
      <c r="B80" s="753" t="str">
        <f>Variables!D66</f>
        <v>Vérification - volume</v>
      </c>
      <c r="C80" s="644"/>
      <c r="D80" s="644"/>
      <c r="E80" s="644"/>
      <c r="F80" s="645"/>
      <c r="G80" s="176">
        <f>H80-1</f>
        <v>2024</v>
      </c>
      <c r="H80" s="176">
        <f>Variables!B8-1</f>
        <v>2025</v>
      </c>
      <c r="I80" s="176" t="str">
        <f>J24</f>
        <v>janv.-mars 2025</v>
      </c>
      <c r="J80" s="208" t="str">
        <f>K24</f>
        <v>janv.-mars 2026</v>
      </c>
      <c r="K80" s="225"/>
      <c r="L80" s="226"/>
      <c r="M80" s="10"/>
      <c r="O80" s="10" t="s">
        <v>379</v>
      </c>
      <c r="P80" s="10" t="s">
        <v>380</v>
      </c>
    </row>
    <row r="81" spans="1:16" ht="14.1" customHeight="1" x14ac:dyDescent="0.25">
      <c r="B81" s="757" t="str">
        <f>D31</f>
        <v>tonnes</v>
      </c>
      <c r="C81" s="758"/>
      <c r="D81" s="758"/>
      <c r="E81" s="758"/>
      <c r="F81" s="759"/>
      <c r="G81" s="187" t="str">
        <f>IF(SUM(E57:G57,E61:G61,E65:G65,E69:G69,E73:G73)&gt;H44,Variables!$D$67,Variables!$D$68)</f>
        <v>Correct</v>
      </c>
      <c r="H81" s="187" t="str">
        <f>IF(SUM(H57:K57,H61:K61,H65:K65,H69:K69,H73:K73)&gt;I44,Variables!$D$67,Variables!$D$68)</f>
        <v>Correct</v>
      </c>
      <c r="I81" s="187" t="str">
        <f>IF(SUM(H57,H61,H65,H69,H73)&gt;J44,Variables!$D$67,Variables!$D$68)</f>
        <v>Correct</v>
      </c>
      <c r="J81" s="187" t="str">
        <f>IF(SUM(L57,L61,L65,L69,L73)&gt;K44,Variables!$D$67,Variables!$D$68)</f>
        <v>Correct</v>
      </c>
      <c r="K81" s="225"/>
      <c r="L81" s="226"/>
      <c r="M81" s="10"/>
    </row>
    <row r="82" spans="1:16" ht="26.25" customHeight="1" x14ac:dyDescent="0.25">
      <c r="B82" s="754" t="str">
        <f>IF(Intro!$G$20="English",O82,P82)</f>
        <v>volume - total des ventes au Canada d'importations aux cinq principaux clients (Question 2)</v>
      </c>
      <c r="C82" s="755"/>
      <c r="D82" s="755"/>
      <c r="E82" s="755"/>
      <c r="F82" s="756"/>
      <c r="G82" s="187">
        <f>SUM(E57:G57,E61:G61,E65:G65,E69:G69,E73:G73)</f>
        <v>0</v>
      </c>
      <c r="H82" s="187">
        <f>SUM(H57:K57,H61:K61,H65:K65,H69:K69,H73:K73)</f>
        <v>0</v>
      </c>
      <c r="I82" s="187">
        <f>SUM(H57,H61,H65,H69,H73)</f>
        <v>0</v>
      </c>
      <c r="J82" s="187">
        <f>SUM(L57,L61,L65,L69,L73)</f>
        <v>0</v>
      </c>
      <c r="K82" s="225"/>
      <c r="L82" s="226"/>
      <c r="M82" s="10"/>
      <c r="O82" s="73" t="s">
        <v>439</v>
      </c>
      <c r="P82" s="10" t="s">
        <v>441</v>
      </c>
    </row>
    <row r="83" spans="1:16" ht="14.1" customHeight="1" x14ac:dyDescent="0.25">
      <c r="B83" s="754" t="str">
        <f>IF(Intro!$G$20="English",O83,P83)</f>
        <v>volume - total des ventes au Canada d'importations (Question 1)</v>
      </c>
      <c r="C83" s="755"/>
      <c r="D83" s="755"/>
      <c r="E83" s="755"/>
      <c r="F83" s="756"/>
      <c r="G83" s="187">
        <f>H44</f>
        <v>0</v>
      </c>
      <c r="H83" s="187">
        <f>I44</f>
        <v>0</v>
      </c>
      <c r="I83" s="187">
        <f>J44</f>
        <v>0</v>
      </c>
      <c r="J83" s="187">
        <f>K44</f>
        <v>0</v>
      </c>
      <c r="K83" s="225"/>
      <c r="L83" s="226"/>
      <c r="M83" s="10"/>
      <c r="O83" s="10" t="s">
        <v>440</v>
      </c>
      <c r="P83" s="10" t="s">
        <v>442</v>
      </c>
    </row>
    <row r="84" spans="1:16" ht="14.1" customHeight="1" x14ac:dyDescent="0.25">
      <c r="B84" s="760" t="str">
        <f>Variables!D70</f>
        <v>Vérification - valeur</v>
      </c>
      <c r="C84" s="761"/>
      <c r="D84" s="761"/>
      <c r="E84" s="761"/>
      <c r="F84" s="762"/>
      <c r="G84" s="176">
        <f>G80</f>
        <v>2024</v>
      </c>
      <c r="H84" s="176">
        <f>H80</f>
        <v>2025</v>
      </c>
      <c r="I84" s="176" t="str">
        <f>I80</f>
        <v>janv.-mars 2025</v>
      </c>
      <c r="J84" s="208" t="str">
        <f>J80</f>
        <v>janv.-mars 2026</v>
      </c>
      <c r="K84" s="225"/>
      <c r="L84" s="226"/>
      <c r="M84" s="10"/>
    </row>
    <row r="85" spans="1:16" ht="14.1" customHeight="1" x14ac:dyDescent="0.25">
      <c r="B85" s="783" t="str">
        <f>D32</f>
        <v>valeur de vente nette rendue (CAD)</v>
      </c>
      <c r="C85" s="784"/>
      <c r="D85" s="784"/>
      <c r="E85" s="784"/>
      <c r="F85" s="785"/>
      <c r="G85" s="187" t="str">
        <f>IF(SUM(E58:G58,E62:G62,E66:G66,E70:G70,E74:G74)&gt;H45,Variables!$D$67,Variables!$D$68)</f>
        <v>Correct</v>
      </c>
      <c r="H85" s="187" t="str">
        <f>IF(SUM(H58:K58,H62:K62,H66:K66,H70:K70,H74:K74)&gt;I45,Variables!$D$67,Variables!$D$68)</f>
        <v>Correct</v>
      </c>
      <c r="I85" s="187" t="str">
        <f>IF(SUM(H58,H62,H66,H70,H74)&gt;J45,Variables!$D$67,Variables!$D$68)</f>
        <v>Correct</v>
      </c>
      <c r="J85" s="187" t="str">
        <f>IF(SUM(L58,L62,L66,L70,L74)&gt;K45,Variables!$D$67,Variables!$D$68)</f>
        <v>Correct</v>
      </c>
      <c r="K85" s="225"/>
      <c r="L85" s="226"/>
      <c r="M85" s="10"/>
    </row>
    <row r="86" spans="1:16" ht="14.1" customHeight="1" x14ac:dyDescent="0.25">
      <c r="B86" s="786" t="str">
        <f>IF(Intro!$G$20="English",O86,P86)</f>
        <v>valeur - total des ventes au Canada d'importations aux cinq principaux clients (Question 2)</v>
      </c>
      <c r="C86" s="787"/>
      <c r="D86" s="787"/>
      <c r="E86" s="787"/>
      <c r="F86" s="788"/>
      <c r="G86" s="187">
        <f>SUM(E58:G58,E62:G62,E66:G66,E70:G70,E74:G74)</f>
        <v>0</v>
      </c>
      <c r="H86" s="187">
        <f>SUM(H58:K58,H62:K62,H66:K66,H70:K70,H74:K74)</f>
        <v>0</v>
      </c>
      <c r="I86" s="187">
        <f>SUM(H58,H62,H66,H70,H74)</f>
        <v>0</v>
      </c>
      <c r="J86" s="187">
        <f>SUM(L58,L62,L66,L70,L74)</f>
        <v>0</v>
      </c>
      <c r="K86" s="225"/>
      <c r="L86" s="226"/>
      <c r="M86" s="10"/>
      <c r="O86" s="73" t="s">
        <v>445</v>
      </c>
      <c r="P86" s="10" t="s">
        <v>443</v>
      </c>
    </row>
    <row r="87" spans="1:16" ht="14.1" customHeight="1" x14ac:dyDescent="0.25">
      <c r="B87" s="786" t="str">
        <f>IF(Intro!$G$20="English",O87,P87)</f>
        <v>valeur - total des ventes au Canada d'importations (Question 1)</v>
      </c>
      <c r="C87" s="787"/>
      <c r="D87" s="787"/>
      <c r="E87" s="787"/>
      <c r="F87" s="788"/>
      <c r="G87" s="187">
        <f>H45</f>
        <v>0</v>
      </c>
      <c r="H87" s="187">
        <f>I45</f>
        <v>0</v>
      </c>
      <c r="I87" s="187">
        <f>J45</f>
        <v>0</v>
      </c>
      <c r="J87" s="187">
        <f>K45</f>
        <v>0</v>
      </c>
      <c r="K87" s="225"/>
      <c r="L87" s="226"/>
      <c r="M87" s="10"/>
      <c r="O87" s="10" t="s">
        <v>446</v>
      </c>
      <c r="P87" s="10" t="s">
        <v>444</v>
      </c>
    </row>
    <row r="88" spans="1:16" x14ac:dyDescent="0.25">
      <c r="B88" s="72"/>
      <c r="C88" s="69"/>
      <c r="D88" s="69"/>
      <c r="E88" s="69"/>
      <c r="F88" s="69"/>
      <c r="G88" s="69"/>
      <c r="H88" s="69"/>
      <c r="I88" s="69"/>
      <c r="J88" s="164"/>
      <c r="K88" s="164"/>
      <c r="L88" s="165"/>
      <c r="M88" s="10"/>
    </row>
    <row r="89" spans="1:16" s="11" customFormat="1" x14ac:dyDescent="0.25">
      <c r="A89" s="7"/>
      <c r="B89" s="31"/>
      <c r="C89" s="31"/>
      <c r="D89" s="89"/>
      <c r="E89" s="90"/>
      <c r="F89" s="90"/>
      <c r="G89" s="90"/>
      <c r="H89" s="90"/>
      <c r="I89" s="90"/>
      <c r="J89" s="90"/>
      <c r="K89" s="90"/>
      <c r="L89" s="90"/>
      <c r="M89" s="73"/>
    </row>
    <row r="90" spans="1:16" x14ac:dyDescent="0.25">
      <c r="B90" s="533" t="str">
        <f>IF(Intro!$G$20="English",O90,P90)</f>
        <v>IMPORTATIONS DE PRODUITS DE RÉFÉRENCE</v>
      </c>
      <c r="C90" s="534"/>
      <c r="D90" s="534"/>
      <c r="E90" s="534"/>
      <c r="F90" s="534"/>
      <c r="G90" s="534"/>
      <c r="H90" s="534"/>
      <c r="I90" s="534"/>
      <c r="J90" s="534"/>
      <c r="K90" s="534"/>
      <c r="L90" s="535"/>
      <c r="M90" s="10"/>
      <c r="O90" s="105" t="s">
        <v>332</v>
      </c>
      <c r="P90" s="105" t="s">
        <v>398</v>
      </c>
    </row>
    <row r="91" spans="1:16" x14ac:dyDescent="0.25">
      <c r="B91" s="671" t="s">
        <v>16</v>
      </c>
      <c r="C91" s="672"/>
      <c r="D91" s="672"/>
      <c r="E91" s="672"/>
      <c r="F91" s="672"/>
      <c r="G91" s="672"/>
      <c r="H91" s="672"/>
      <c r="I91" s="672"/>
      <c r="J91" s="672"/>
      <c r="K91" s="672"/>
      <c r="L91" s="673"/>
      <c r="M91" s="10"/>
    </row>
    <row r="92" spans="1:16" x14ac:dyDescent="0.25">
      <c r="B92" s="16"/>
      <c r="C92" s="35"/>
      <c r="D92" s="35"/>
      <c r="E92" s="36"/>
      <c r="F92" s="36"/>
      <c r="G92" s="36"/>
      <c r="H92" s="36"/>
      <c r="I92" s="36"/>
      <c r="J92" s="36"/>
      <c r="K92" s="36"/>
      <c r="L92" s="17"/>
      <c r="M92" s="10"/>
    </row>
    <row r="93" spans="1:16" x14ac:dyDescent="0.25">
      <c r="B93" s="530" t="str">
        <f>IF(Intro!$G$20="English",O93,P93)</f>
        <v>Indiquez le volume et la valeur des importations pour chaque produit de référence :</v>
      </c>
      <c r="C93" s="531"/>
      <c r="D93" s="531"/>
      <c r="E93" s="531"/>
      <c r="F93" s="531"/>
      <c r="G93" s="531"/>
      <c r="H93" s="531"/>
      <c r="I93" s="531"/>
      <c r="J93" s="531"/>
      <c r="K93" s="531"/>
      <c r="L93" s="532"/>
      <c r="M93" s="10"/>
      <c r="O93" s="18" t="s">
        <v>192</v>
      </c>
      <c r="P93" s="10" t="s">
        <v>193</v>
      </c>
    </row>
    <row r="94" spans="1:16" x14ac:dyDescent="0.25">
      <c r="B94" s="61"/>
      <c r="C94" s="62"/>
      <c r="D94" s="35"/>
      <c r="E94" s="36"/>
      <c r="F94" s="36"/>
      <c r="G94" s="36"/>
      <c r="H94" s="36"/>
      <c r="I94" s="36"/>
      <c r="J94" s="36"/>
      <c r="K94" s="36"/>
      <c r="L94" s="17"/>
      <c r="M94" s="10"/>
      <c r="O94" s="18"/>
    </row>
    <row r="95" spans="1:16" x14ac:dyDescent="0.25">
      <c r="B95" s="772"/>
      <c r="C95" s="773"/>
      <c r="D95" s="774"/>
      <c r="E95" s="125" t="str">
        <f t="shared" ref="E95:L95" si="38">E55</f>
        <v>T2 - 2024</v>
      </c>
      <c r="F95" s="125" t="str">
        <f t="shared" si="38"/>
        <v>T3 - 2024</v>
      </c>
      <c r="G95" s="125" t="str">
        <f t="shared" si="38"/>
        <v>T4 - 2024</v>
      </c>
      <c r="H95" s="125" t="str">
        <f t="shared" si="38"/>
        <v>T1 - 2025</v>
      </c>
      <c r="I95" s="125" t="str">
        <f t="shared" si="38"/>
        <v>T2 - 2025</v>
      </c>
      <c r="J95" s="125" t="str">
        <f t="shared" si="38"/>
        <v>T3 - 2025</v>
      </c>
      <c r="K95" s="125" t="str">
        <f t="shared" si="38"/>
        <v>T4 - 2025</v>
      </c>
      <c r="L95" s="136" t="str">
        <f t="shared" si="38"/>
        <v>T1 - 2026</v>
      </c>
      <c r="M95" s="10"/>
      <c r="O95" s="18"/>
    </row>
    <row r="96" spans="1:16" x14ac:dyDescent="0.25">
      <c r="B96" s="768" t="str">
        <f>IF(Intro!$G$20="English",Variables!B30,Variables!C30)</f>
        <v xml:space="preserve">Tubage sans soudure L80 (y compris les améliorations) avec raccord API </v>
      </c>
      <c r="C96" s="641"/>
      <c r="D96" s="641"/>
      <c r="E96" s="641"/>
      <c r="F96" s="641"/>
      <c r="G96" s="641"/>
      <c r="H96" s="641"/>
      <c r="I96" s="641"/>
      <c r="J96" s="641"/>
      <c r="K96" s="641"/>
      <c r="L96" s="769"/>
      <c r="M96" s="10"/>
    </row>
    <row r="97" spans="2:13" x14ac:dyDescent="0.25">
      <c r="B97" s="770"/>
      <c r="C97" s="647"/>
      <c r="D97" s="647"/>
      <c r="E97" s="647"/>
      <c r="F97" s="647"/>
      <c r="G97" s="647"/>
      <c r="H97" s="647"/>
      <c r="I97" s="647"/>
      <c r="J97" s="647"/>
      <c r="K97" s="647"/>
      <c r="L97" s="771"/>
      <c r="M97" s="10"/>
    </row>
    <row r="98" spans="2:13" x14ac:dyDescent="0.25">
      <c r="B98" s="747" t="str">
        <f>D$26</f>
        <v>tonnes</v>
      </c>
      <c r="C98" s="748"/>
      <c r="D98" s="748"/>
      <c r="E98" s="137"/>
      <c r="F98" s="137"/>
      <c r="G98" s="137"/>
      <c r="H98" s="137"/>
      <c r="I98" s="137"/>
      <c r="J98" s="137"/>
      <c r="K98" s="137"/>
      <c r="L98" s="138"/>
      <c r="M98" s="10"/>
    </row>
    <row r="99" spans="2:13" x14ac:dyDescent="0.25">
      <c r="B99" s="747" t="str">
        <f>D$27</f>
        <v>valeur d'achat nette rendue (CAD)</v>
      </c>
      <c r="C99" s="748"/>
      <c r="D99" s="748"/>
      <c r="E99" s="137"/>
      <c r="F99" s="137"/>
      <c r="G99" s="137"/>
      <c r="H99" s="137"/>
      <c r="I99" s="137"/>
      <c r="J99" s="137"/>
      <c r="K99" s="137"/>
      <c r="L99" s="138"/>
      <c r="M99" s="10"/>
    </row>
    <row r="100" spans="2:13" x14ac:dyDescent="0.25">
      <c r="B100" s="747" t="str">
        <f>D$28</f>
        <v>$ / tonne</v>
      </c>
      <c r="C100" s="748"/>
      <c r="D100" s="748"/>
      <c r="E100" s="151" t="str">
        <f t="shared" ref="E100:L100" si="39">IF(E98=0,"-",E99/E98)</f>
        <v>-</v>
      </c>
      <c r="F100" s="151" t="str">
        <f t="shared" si="39"/>
        <v>-</v>
      </c>
      <c r="G100" s="151" t="str">
        <f t="shared" si="39"/>
        <v>-</v>
      </c>
      <c r="H100" s="151" t="str">
        <f t="shared" si="39"/>
        <v>-</v>
      </c>
      <c r="I100" s="151" t="str">
        <f t="shared" si="39"/>
        <v>-</v>
      </c>
      <c r="J100" s="151" t="str">
        <f t="shared" si="39"/>
        <v>-</v>
      </c>
      <c r="K100" s="151" t="str">
        <f t="shared" si="39"/>
        <v>-</v>
      </c>
      <c r="L100" s="152" t="str">
        <f t="shared" si="39"/>
        <v>-</v>
      </c>
      <c r="M100" s="10"/>
    </row>
    <row r="101" spans="2:13" x14ac:dyDescent="0.25">
      <c r="B101" s="768" t="str">
        <f>IF(Intro!$G$20="English",Variables!B31,Variables!C31)</f>
        <v>Tubage soudé L80 (y compris les améliorations) avec raccord API</v>
      </c>
      <c r="C101" s="641"/>
      <c r="D101" s="641"/>
      <c r="E101" s="641"/>
      <c r="F101" s="641"/>
      <c r="G101" s="641"/>
      <c r="H101" s="641"/>
      <c r="I101" s="641"/>
      <c r="J101" s="641"/>
      <c r="K101" s="641"/>
      <c r="L101" s="769"/>
      <c r="M101" s="10"/>
    </row>
    <row r="102" spans="2:13" x14ac:dyDescent="0.25">
      <c r="B102" s="770"/>
      <c r="C102" s="647"/>
      <c r="D102" s="647"/>
      <c r="E102" s="647"/>
      <c r="F102" s="647"/>
      <c r="G102" s="647"/>
      <c r="H102" s="647"/>
      <c r="I102" s="647"/>
      <c r="J102" s="647"/>
      <c r="K102" s="647"/>
      <c r="L102" s="771"/>
      <c r="M102" s="10"/>
    </row>
    <row r="103" spans="2:13" x14ac:dyDescent="0.25">
      <c r="B103" s="747" t="str">
        <f>D$26</f>
        <v>tonnes</v>
      </c>
      <c r="C103" s="748"/>
      <c r="D103" s="748"/>
      <c r="E103" s="137"/>
      <c r="F103" s="137"/>
      <c r="G103" s="137"/>
      <c r="H103" s="137"/>
      <c r="I103" s="137"/>
      <c r="J103" s="137"/>
      <c r="K103" s="137"/>
      <c r="L103" s="138"/>
      <c r="M103" s="10"/>
    </row>
    <row r="104" spans="2:13" x14ac:dyDescent="0.25">
      <c r="B104" s="747" t="str">
        <f>D$27</f>
        <v>valeur d'achat nette rendue (CAD)</v>
      </c>
      <c r="C104" s="748"/>
      <c r="D104" s="748"/>
      <c r="E104" s="137"/>
      <c r="F104" s="137"/>
      <c r="G104" s="137"/>
      <c r="H104" s="137"/>
      <c r="I104" s="137"/>
      <c r="J104" s="137"/>
      <c r="K104" s="137"/>
      <c r="L104" s="138"/>
      <c r="M104" s="10"/>
    </row>
    <row r="105" spans="2:13" x14ac:dyDescent="0.25">
      <c r="B105" s="747" t="str">
        <f>D$28</f>
        <v>$ / tonne</v>
      </c>
      <c r="C105" s="748"/>
      <c r="D105" s="748"/>
      <c r="E105" s="151" t="str">
        <f t="shared" ref="E105:L105" si="40">IF(E103=0,"-",E104/E103)</f>
        <v>-</v>
      </c>
      <c r="F105" s="151" t="str">
        <f t="shared" si="40"/>
        <v>-</v>
      </c>
      <c r="G105" s="151" t="str">
        <f t="shared" si="40"/>
        <v>-</v>
      </c>
      <c r="H105" s="151" t="str">
        <f t="shared" si="40"/>
        <v>-</v>
      </c>
      <c r="I105" s="151" t="str">
        <f t="shared" si="40"/>
        <v>-</v>
      </c>
      <c r="J105" s="151" t="str">
        <f t="shared" si="40"/>
        <v>-</v>
      </c>
      <c r="K105" s="151" t="str">
        <f t="shared" si="40"/>
        <v>-</v>
      </c>
      <c r="L105" s="152" t="str">
        <f t="shared" si="40"/>
        <v>-</v>
      </c>
      <c r="M105" s="10"/>
    </row>
    <row r="106" spans="2:13" x14ac:dyDescent="0.25">
      <c r="B106" s="768" t="str">
        <f>IF(Intro!$G$20="English",Variables!B32,Variables!C32)</f>
        <v xml:space="preserve">Tubage sans soudure L80 (y compris les améliorations) avec raccord de qualité semi-supérieure </v>
      </c>
      <c r="C106" s="641"/>
      <c r="D106" s="641"/>
      <c r="E106" s="641"/>
      <c r="F106" s="641"/>
      <c r="G106" s="641"/>
      <c r="H106" s="641"/>
      <c r="I106" s="641"/>
      <c r="J106" s="641"/>
      <c r="K106" s="641"/>
      <c r="L106" s="769"/>
      <c r="M106" s="10"/>
    </row>
    <row r="107" spans="2:13" x14ac:dyDescent="0.25">
      <c r="B107" s="770"/>
      <c r="C107" s="647"/>
      <c r="D107" s="647"/>
      <c r="E107" s="647"/>
      <c r="F107" s="647"/>
      <c r="G107" s="647"/>
      <c r="H107" s="647"/>
      <c r="I107" s="647"/>
      <c r="J107" s="647"/>
      <c r="K107" s="647"/>
      <c r="L107" s="771"/>
      <c r="M107" s="10"/>
    </row>
    <row r="108" spans="2:13" x14ac:dyDescent="0.25">
      <c r="B108" s="747" t="str">
        <f>D$26</f>
        <v>tonnes</v>
      </c>
      <c r="C108" s="748"/>
      <c r="D108" s="748"/>
      <c r="E108" s="137"/>
      <c r="F108" s="137"/>
      <c r="G108" s="137"/>
      <c r="H108" s="137"/>
      <c r="I108" s="137"/>
      <c r="J108" s="137"/>
      <c r="K108" s="137"/>
      <c r="L108" s="138"/>
      <c r="M108" s="10"/>
    </row>
    <row r="109" spans="2:13" x14ac:dyDescent="0.25">
      <c r="B109" s="747" t="str">
        <f>D$27</f>
        <v>valeur d'achat nette rendue (CAD)</v>
      </c>
      <c r="C109" s="748"/>
      <c r="D109" s="748"/>
      <c r="E109" s="137"/>
      <c r="F109" s="137"/>
      <c r="G109" s="137"/>
      <c r="H109" s="137"/>
      <c r="I109" s="137"/>
      <c r="J109" s="137"/>
      <c r="K109" s="137"/>
      <c r="L109" s="138"/>
      <c r="M109" s="10"/>
    </row>
    <row r="110" spans="2:13" x14ac:dyDescent="0.25">
      <c r="B110" s="747" t="str">
        <f>D$28</f>
        <v>$ / tonne</v>
      </c>
      <c r="C110" s="748"/>
      <c r="D110" s="748"/>
      <c r="E110" s="151" t="str">
        <f t="shared" ref="E110:L110" si="41">IF(E108=0,"-",E109/E108)</f>
        <v>-</v>
      </c>
      <c r="F110" s="151" t="str">
        <f t="shared" si="41"/>
        <v>-</v>
      </c>
      <c r="G110" s="151" t="str">
        <f t="shared" si="41"/>
        <v>-</v>
      </c>
      <c r="H110" s="151" t="str">
        <f t="shared" si="41"/>
        <v>-</v>
      </c>
      <c r="I110" s="151" t="str">
        <f t="shared" si="41"/>
        <v>-</v>
      </c>
      <c r="J110" s="151" t="str">
        <f t="shared" si="41"/>
        <v>-</v>
      </c>
      <c r="K110" s="151" t="str">
        <f t="shared" si="41"/>
        <v>-</v>
      </c>
      <c r="L110" s="152" t="str">
        <f t="shared" si="41"/>
        <v>-</v>
      </c>
      <c r="M110" s="10"/>
    </row>
    <row r="111" spans="2:13" x14ac:dyDescent="0.25">
      <c r="B111" s="768" t="str">
        <f>IF(Intro!$G$20="English",Variables!B33,Variables!C33)</f>
        <v xml:space="preserve">Tubage soudé L80 (y compris les améliorations) avec raccord de qualité semi-supérieure </v>
      </c>
      <c r="C111" s="641"/>
      <c r="D111" s="641"/>
      <c r="E111" s="641"/>
      <c r="F111" s="641"/>
      <c r="G111" s="641"/>
      <c r="H111" s="641"/>
      <c r="I111" s="641"/>
      <c r="J111" s="641"/>
      <c r="K111" s="641"/>
      <c r="L111" s="769"/>
      <c r="M111" s="10"/>
    </row>
    <row r="112" spans="2:13" x14ac:dyDescent="0.25">
      <c r="B112" s="770"/>
      <c r="C112" s="647"/>
      <c r="D112" s="647"/>
      <c r="E112" s="647"/>
      <c r="F112" s="647"/>
      <c r="G112" s="647"/>
      <c r="H112" s="647"/>
      <c r="I112" s="647"/>
      <c r="J112" s="647"/>
      <c r="K112" s="647"/>
      <c r="L112" s="771"/>
      <c r="M112" s="10"/>
    </row>
    <row r="113" spans="2:13" x14ac:dyDescent="0.25">
      <c r="B113" s="747" t="str">
        <f>D$26</f>
        <v>tonnes</v>
      </c>
      <c r="C113" s="748"/>
      <c r="D113" s="748"/>
      <c r="E113" s="137"/>
      <c r="F113" s="137"/>
      <c r="G113" s="137"/>
      <c r="H113" s="137"/>
      <c r="I113" s="137"/>
      <c r="J113" s="137"/>
      <c r="K113" s="137"/>
      <c r="L113" s="138"/>
      <c r="M113" s="10"/>
    </row>
    <row r="114" spans="2:13" x14ac:dyDescent="0.25">
      <c r="B114" s="747" t="str">
        <f>D$27</f>
        <v>valeur d'achat nette rendue (CAD)</v>
      </c>
      <c r="C114" s="748"/>
      <c r="D114" s="748"/>
      <c r="E114" s="137"/>
      <c r="F114" s="137"/>
      <c r="G114" s="137"/>
      <c r="H114" s="137"/>
      <c r="I114" s="137"/>
      <c r="J114" s="137"/>
      <c r="K114" s="137"/>
      <c r="L114" s="138"/>
      <c r="M114" s="10"/>
    </row>
    <row r="115" spans="2:13" x14ac:dyDescent="0.25">
      <c r="B115" s="747" t="str">
        <f>D$28</f>
        <v>$ / tonne</v>
      </c>
      <c r="C115" s="748"/>
      <c r="D115" s="748"/>
      <c r="E115" s="151" t="str">
        <f t="shared" ref="E115:L115" si="42">IF(E113=0,"-",E114/E113)</f>
        <v>-</v>
      </c>
      <c r="F115" s="151" t="str">
        <f t="shared" si="42"/>
        <v>-</v>
      </c>
      <c r="G115" s="151" t="str">
        <f t="shared" si="42"/>
        <v>-</v>
      </c>
      <c r="H115" s="151" t="str">
        <f t="shared" si="42"/>
        <v>-</v>
      </c>
      <c r="I115" s="151" t="str">
        <f t="shared" si="42"/>
        <v>-</v>
      </c>
      <c r="J115" s="151" t="str">
        <f t="shared" si="42"/>
        <v>-</v>
      </c>
      <c r="K115" s="151" t="str">
        <f t="shared" si="42"/>
        <v>-</v>
      </c>
      <c r="L115" s="152" t="str">
        <f t="shared" si="42"/>
        <v>-</v>
      </c>
      <c r="M115" s="10"/>
    </row>
    <row r="116" spans="2:13" x14ac:dyDescent="0.25">
      <c r="B116" s="768" t="str">
        <f>IF(Intro!$G$20="English",Variables!B34,Variables!C34)</f>
        <v xml:space="preserve">Tubage sans soudure P110 (y compris les améliorations) avec raccord API </v>
      </c>
      <c r="C116" s="641"/>
      <c r="D116" s="641"/>
      <c r="E116" s="641"/>
      <c r="F116" s="641"/>
      <c r="G116" s="641"/>
      <c r="H116" s="641"/>
      <c r="I116" s="641"/>
      <c r="J116" s="641"/>
      <c r="K116" s="641"/>
      <c r="L116" s="769"/>
      <c r="M116" s="10"/>
    </row>
    <row r="117" spans="2:13" x14ac:dyDescent="0.25">
      <c r="B117" s="770"/>
      <c r="C117" s="647"/>
      <c r="D117" s="647"/>
      <c r="E117" s="647"/>
      <c r="F117" s="647"/>
      <c r="G117" s="647"/>
      <c r="H117" s="647"/>
      <c r="I117" s="647"/>
      <c r="J117" s="647"/>
      <c r="K117" s="647"/>
      <c r="L117" s="771"/>
      <c r="M117" s="10"/>
    </row>
    <row r="118" spans="2:13" x14ac:dyDescent="0.25">
      <c r="B118" s="747" t="str">
        <f>D$26</f>
        <v>tonnes</v>
      </c>
      <c r="C118" s="748"/>
      <c r="D118" s="748"/>
      <c r="E118" s="137"/>
      <c r="F118" s="137"/>
      <c r="G118" s="137"/>
      <c r="H118" s="137"/>
      <c r="I118" s="137"/>
      <c r="J118" s="137"/>
      <c r="K118" s="137"/>
      <c r="L118" s="138"/>
      <c r="M118" s="10"/>
    </row>
    <row r="119" spans="2:13" x14ac:dyDescent="0.25">
      <c r="B119" s="747" t="str">
        <f>D$27</f>
        <v>valeur d'achat nette rendue (CAD)</v>
      </c>
      <c r="C119" s="748"/>
      <c r="D119" s="748"/>
      <c r="E119" s="137"/>
      <c r="F119" s="137"/>
      <c r="G119" s="137"/>
      <c r="H119" s="137"/>
      <c r="I119" s="137"/>
      <c r="J119" s="137"/>
      <c r="K119" s="137"/>
      <c r="L119" s="138"/>
      <c r="M119" s="10"/>
    </row>
    <row r="120" spans="2:13" x14ac:dyDescent="0.25">
      <c r="B120" s="747" t="str">
        <f>D$28</f>
        <v>$ / tonne</v>
      </c>
      <c r="C120" s="748"/>
      <c r="D120" s="748"/>
      <c r="E120" s="151" t="str">
        <f t="shared" ref="E120:L120" si="43">IF(E118=0,"-",E119/E118)</f>
        <v>-</v>
      </c>
      <c r="F120" s="151" t="str">
        <f t="shared" si="43"/>
        <v>-</v>
      </c>
      <c r="G120" s="151" t="str">
        <f t="shared" si="43"/>
        <v>-</v>
      </c>
      <c r="H120" s="151" t="str">
        <f t="shared" si="43"/>
        <v>-</v>
      </c>
      <c r="I120" s="151" t="str">
        <f t="shared" si="43"/>
        <v>-</v>
      </c>
      <c r="J120" s="151" t="str">
        <f t="shared" si="43"/>
        <v>-</v>
      </c>
      <c r="K120" s="151" t="str">
        <f t="shared" si="43"/>
        <v>-</v>
      </c>
      <c r="L120" s="152" t="str">
        <f t="shared" si="43"/>
        <v>-</v>
      </c>
      <c r="M120" s="10"/>
    </row>
    <row r="121" spans="2:13" x14ac:dyDescent="0.25">
      <c r="B121" s="768" t="str">
        <f>IF(Intro!$G$20="English",Variables!B35,Variables!C35)</f>
        <v xml:space="preserve">Tubage soudé P110 (y compris les améliorations) avec raccord API </v>
      </c>
      <c r="C121" s="641"/>
      <c r="D121" s="641"/>
      <c r="E121" s="641"/>
      <c r="F121" s="641"/>
      <c r="G121" s="641"/>
      <c r="H121" s="641"/>
      <c r="I121" s="641"/>
      <c r="J121" s="641"/>
      <c r="K121" s="641"/>
      <c r="L121" s="769"/>
      <c r="M121" s="10"/>
    </row>
    <row r="122" spans="2:13" x14ac:dyDescent="0.25">
      <c r="B122" s="770"/>
      <c r="C122" s="647"/>
      <c r="D122" s="647"/>
      <c r="E122" s="647"/>
      <c r="F122" s="647"/>
      <c r="G122" s="647"/>
      <c r="H122" s="647"/>
      <c r="I122" s="647"/>
      <c r="J122" s="647"/>
      <c r="K122" s="647"/>
      <c r="L122" s="771"/>
      <c r="M122" s="10"/>
    </row>
    <row r="123" spans="2:13" x14ac:dyDescent="0.25">
      <c r="B123" s="747" t="str">
        <f>D$26</f>
        <v>tonnes</v>
      </c>
      <c r="C123" s="748"/>
      <c r="D123" s="748"/>
      <c r="E123" s="137"/>
      <c r="F123" s="137"/>
      <c r="G123" s="137"/>
      <c r="H123" s="137"/>
      <c r="I123" s="137"/>
      <c r="J123" s="137"/>
      <c r="K123" s="137"/>
      <c r="L123" s="138"/>
      <c r="M123" s="10"/>
    </row>
    <row r="124" spans="2:13" x14ac:dyDescent="0.25">
      <c r="B124" s="747" t="str">
        <f>D$27</f>
        <v>valeur d'achat nette rendue (CAD)</v>
      </c>
      <c r="C124" s="748"/>
      <c r="D124" s="748"/>
      <c r="E124" s="137"/>
      <c r="F124" s="137"/>
      <c r="G124" s="137"/>
      <c r="H124" s="137"/>
      <c r="I124" s="137"/>
      <c r="J124" s="137"/>
      <c r="K124" s="137"/>
      <c r="L124" s="138"/>
      <c r="M124" s="10"/>
    </row>
    <row r="125" spans="2:13" x14ac:dyDescent="0.25">
      <c r="B125" s="747" t="str">
        <f>D$28</f>
        <v>$ / tonne</v>
      </c>
      <c r="C125" s="748"/>
      <c r="D125" s="748"/>
      <c r="E125" s="151" t="str">
        <f t="shared" ref="E125:L125" si="44">IF(E123=0,"-",E124/E123)</f>
        <v>-</v>
      </c>
      <c r="F125" s="151" t="str">
        <f t="shared" si="44"/>
        <v>-</v>
      </c>
      <c r="G125" s="151" t="str">
        <f t="shared" si="44"/>
        <v>-</v>
      </c>
      <c r="H125" s="151" t="str">
        <f t="shared" si="44"/>
        <v>-</v>
      </c>
      <c r="I125" s="151" t="str">
        <f t="shared" si="44"/>
        <v>-</v>
      </c>
      <c r="J125" s="151" t="str">
        <f t="shared" si="44"/>
        <v>-</v>
      </c>
      <c r="K125" s="151" t="str">
        <f t="shared" si="44"/>
        <v>-</v>
      </c>
      <c r="L125" s="152" t="str">
        <f t="shared" si="44"/>
        <v>-</v>
      </c>
      <c r="M125" s="10"/>
    </row>
    <row r="126" spans="2:13" x14ac:dyDescent="0.25">
      <c r="B126" s="768" t="str">
        <f>IF(Intro!$G$20="English",Variables!B36,Variables!C36)</f>
        <v>Tubage sans soudure P110 (y compris les améliorations) avec raccord de qualité semi-supérieure</v>
      </c>
      <c r="C126" s="641"/>
      <c r="D126" s="641"/>
      <c r="E126" s="641"/>
      <c r="F126" s="641"/>
      <c r="G126" s="641"/>
      <c r="H126" s="641"/>
      <c r="I126" s="641"/>
      <c r="J126" s="641"/>
      <c r="K126" s="641"/>
      <c r="L126" s="769"/>
      <c r="M126" s="10"/>
    </row>
    <row r="127" spans="2:13" x14ac:dyDescent="0.25">
      <c r="B127" s="770"/>
      <c r="C127" s="647"/>
      <c r="D127" s="647"/>
      <c r="E127" s="647"/>
      <c r="F127" s="647"/>
      <c r="G127" s="647"/>
      <c r="H127" s="647"/>
      <c r="I127" s="647"/>
      <c r="J127" s="647"/>
      <c r="K127" s="647"/>
      <c r="L127" s="771"/>
      <c r="M127" s="10"/>
    </row>
    <row r="128" spans="2:13" x14ac:dyDescent="0.25">
      <c r="B128" s="747" t="str">
        <f>D$26</f>
        <v>tonnes</v>
      </c>
      <c r="C128" s="748"/>
      <c r="D128" s="748"/>
      <c r="E128" s="137"/>
      <c r="F128" s="137"/>
      <c r="G128" s="137"/>
      <c r="H128" s="137"/>
      <c r="I128" s="137"/>
      <c r="J128" s="137"/>
      <c r="K128" s="137"/>
      <c r="L128" s="138"/>
      <c r="M128" s="10"/>
    </row>
    <row r="129" spans="2:13" x14ac:dyDescent="0.25">
      <c r="B129" s="747" t="str">
        <f>D$27</f>
        <v>valeur d'achat nette rendue (CAD)</v>
      </c>
      <c r="C129" s="748"/>
      <c r="D129" s="748"/>
      <c r="E129" s="137"/>
      <c r="F129" s="137"/>
      <c r="G129" s="137"/>
      <c r="H129" s="137"/>
      <c r="I129" s="137"/>
      <c r="J129" s="137"/>
      <c r="K129" s="137"/>
      <c r="L129" s="138"/>
      <c r="M129" s="10"/>
    </row>
    <row r="130" spans="2:13" x14ac:dyDescent="0.25">
      <c r="B130" s="747" t="str">
        <f>D$28</f>
        <v>$ / tonne</v>
      </c>
      <c r="C130" s="748"/>
      <c r="D130" s="748"/>
      <c r="E130" s="151" t="str">
        <f t="shared" ref="E130:L130" si="45">IF(E128=0,"-",E129/E128)</f>
        <v>-</v>
      </c>
      <c r="F130" s="151" t="str">
        <f t="shared" si="45"/>
        <v>-</v>
      </c>
      <c r="G130" s="151" t="str">
        <f t="shared" si="45"/>
        <v>-</v>
      </c>
      <c r="H130" s="151" t="str">
        <f t="shared" si="45"/>
        <v>-</v>
      </c>
      <c r="I130" s="151" t="str">
        <f t="shared" si="45"/>
        <v>-</v>
      </c>
      <c r="J130" s="151" t="str">
        <f t="shared" si="45"/>
        <v>-</v>
      </c>
      <c r="K130" s="151" t="str">
        <f t="shared" si="45"/>
        <v>-</v>
      </c>
      <c r="L130" s="152" t="str">
        <f t="shared" si="45"/>
        <v>-</v>
      </c>
      <c r="M130" s="10"/>
    </row>
    <row r="131" spans="2:13" x14ac:dyDescent="0.25">
      <c r="B131" s="768" t="str">
        <f>IF(Intro!$G$20="English",Variables!B37,Variables!C37)</f>
        <v>Tubage soudé P110 (y compris les améliorations) avec raccord de qualité semi-supérieure</v>
      </c>
      <c r="C131" s="641"/>
      <c r="D131" s="641"/>
      <c r="E131" s="641"/>
      <c r="F131" s="641"/>
      <c r="G131" s="641"/>
      <c r="H131" s="641"/>
      <c r="I131" s="641"/>
      <c r="J131" s="641"/>
      <c r="K131" s="641"/>
      <c r="L131" s="769"/>
      <c r="M131" s="10"/>
    </row>
    <row r="132" spans="2:13" x14ac:dyDescent="0.25">
      <c r="B132" s="770"/>
      <c r="C132" s="647"/>
      <c r="D132" s="647"/>
      <c r="E132" s="647"/>
      <c r="F132" s="647"/>
      <c r="G132" s="647"/>
      <c r="H132" s="647"/>
      <c r="I132" s="647"/>
      <c r="J132" s="647"/>
      <c r="K132" s="647"/>
      <c r="L132" s="771"/>
      <c r="M132" s="10"/>
    </row>
    <row r="133" spans="2:13" x14ac:dyDescent="0.25">
      <c r="B133" s="747" t="str">
        <f>D$26</f>
        <v>tonnes</v>
      </c>
      <c r="C133" s="748"/>
      <c r="D133" s="748"/>
      <c r="E133" s="137"/>
      <c r="F133" s="137"/>
      <c r="G133" s="137"/>
      <c r="H133" s="137"/>
      <c r="I133" s="137"/>
      <c r="J133" s="137"/>
      <c r="K133" s="137"/>
      <c r="L133" s="138"/>
      <c r="M133" s="10"/>
    </row>
    <row r="134" spans="2:13" x14ac:dyDescent="0.25">
      <c r="B134" s="747" t="str">
        <f>D$27</f>
        <v>valeur d'achat nette rendue (CAD)</v>
      </c>
      <c r="C134" s="748"/>
      <c r="D134" s="748"/>
      <c r="E134" s="137"/>
      <c r="F134" s="137"/>
      <c r="G134" s="137"/>
      <c r="H134" s="137"/>
      <c r="I134" s="137"/>
      <c r="J134" s="137"/>
      <c r="K134" s="137"/>
      <c r="L134" s="138"/>
      <c r="M134" s="10"/>
    </row>
    <row r="135" spans="2:13" x14ac:dyDescent="0.25">
      <c r="B135" s="747" t="str">
        <f>D$28</f>
        <v>$ / tonne</v>
      </c>
      <c r="C135" s="748"/>
      <c r="D135" s="748"/>
      <c r="E135" s="151" t="str">
        <f t="shared" ref="E135:L135" si="46">IF(E133=0,"-",E134/E133)</f>
        <v>-</v>
      </c>
      <c r="F135" s="151" t="str">
        <f t="shared" si="46"/>
        <v>-</v>
      </c>
      <c r="G135" s="151" t="str">
        <f t="shared" si="46"/>
        <v>-</v>
      </c>
      <c r="H135" s="151" t="str">
        <f t="shared" si="46"/>
        <v>-</v>
      </c>
      <c r="I135" s="151" t="str">
        <f t="shared" si="46"/>
        <v>-</v>
      </c>
      <c r="J135" s="151" t="str">
        <f t="shared" si="46"/>
        <v>-</v>
      </c>
      <c r="K135" s="151" t="str">
        <f t="shared" si="46"/>
        <v>-</v>
      </c>
      <c r="L135" s="152" t="str">
        <f t="shared" si="46"/>
        <v>-</v>
      </c>
      <c r="M135" s="10"/>
    </row>
    <row r="136" spans="2:13" x14ac:dyDescent="0.25">
      <c r="B136" s="768" t="str">
        <f>IF(Intro!$G$20="English",Variables!B38,Variables!C38)</f>
        <v>Tubage sans soudure T95 (y compris les améliorations) avec raccord semi-supérieure</v>
      </c>
      <c r="C136" s="641"/>
      <c r="D136" s="641"/>
      <c r="E136" s="641"/>
      <c r="F136" s="641"/>
      <c r="G136" s="641"/>
      <c r="H136" s="641"/>
      <c r="I136" s="641"/>
      <c r="J136" s="641"/>
      <c r="K136" s="641"/>
      <c r="L136" s="769"/>
      <c r="M136" s="10"/>
    </row>
    <row r="137" spans="2:13" x14ac:dyDescent="0.25">
      <c r="B137" s="770"/>
      <c r="C137" s="647"/>
      <c r="D137" s="647"/>
      <c r="E137" s="647"/>
      <c r="F137" s="647"/>
      <c r="G137" s="647"/>
      <c r="H137" s="647"/>
      <c r="I137" s="647"/>
      <c r="J137" s="647"/>
      <c r="K137" s="647"/>
      <c r="L137" s="771"/>
      <c r="M137" s="10"/>
    </row>
    <row r="138" spans="2:13" x14ac:dyDescent="0.25">
      <c r="B138" s="747" t="str">
        <f>D$26</f>
        <v>tonnes</v>
      </c>
      <c r="C138" s="748"/>
      <c r="D138" s="748"/>
      <c r="E138" s="137"/>
      <c r="F138" s="137"/>
      <c r="G138" s="137"/>
      <c r="H138" s="137"/>
      <c r="I138" s="137"/>
      <c r="J138" s="137"/>
      <c r="K138" s="137"/>
      <c r="L138" s="138"/>
      <c r="M138" s="10"/>
    </row>
    <row r="139" spans="2:13" x14ac:dyDescent="0.25">
      <c r="B139" s="747" t="str">
        <f>D$27</f>
        <v>valeur d'achat nette rendue (CAD)</v>
      </c>
      <c r="C139" s="748"/>
      <c r="D139" s="748"/>
      <c r="E139" s="137"/>
      <c r="F139" s="137"/>
      <c r="G139" s="137"/>
      <c r="H139" s="137"/>
      <c r="I139" s="137"/>
      <c r="J139" s="137"/>
      <c r="K139" s="137"/>
      <c r="L139" s="138"/>
      <c r="M139" s="10"/>
    </row>
    <row r="140" spans="2:13" x14ac:dyDescent="0.25">
      <c r="B140" s="747" t="str">
        <f>D$28</f>
        <v>$ / tonne</v>
      </c>
      <c r="C140" s="748"/>
      <c r="D140" s="748"/>
      <c r="E140" s="151" t="str">
        <f t="shared" ref="E140:L140" si="47">IF(E138=0,"-",E139/E138)</f>
        <v>-</v>
      </c>
      <c r="F140" s="151" t="str">
        <f t="shared" si="47"/>
        <v>-</v>
      </c>
      <c r="G140" s="151" t="str">
        <f t="shared" si="47"/>
        <v>-</v>
      </c>
      <c r="H140" s="151" t="str">
        <f t="shared" si="47"/>
        <v>-</v>
      </c>
      <c r="I140" s="151" t="str">
        <f t="shared" si="47"/>
        <v>-</v>
      </c>
      <c r="J140" s="151" t="str">
        <f t="shared" si="47"/>
        <v>-</v>
      </c>
      <c r="K140" s="151" t="str">
        <f t="shared" si="47"/>
        <v>-</v>
      </c>
      <c r="L140" s="152" t="str">
        <f t="shared" si="47"/>
        <v>-</v>
      </c>
      <c r="M140" s="10"/>
    </row>
    <row r="141" spans="2:13" x14ac:dyDescent="0.25">
      <c r="B141" s="768" t="str">
        <f>IF(Intro!$G$20="English",Variables!B39,Variables!C39)</f>
        <v>Tubage sans soudure P110S (y compris les améliorations) ou nuance similaire pour milieux modérément acides avec raccord de qualité semi-supérieure</v>
      </c>
      <c r="C141" s="641"/>
      <c r="D141" s="641"/>
      <c r="E141" s="641"/>
      <c r="F141" s="641"/>
      <c r="G141" s="641"/>
      <c r="H141" s="641"/>
      <c r="I141" s="641"/>
      <c r="J141" s="641"/>
      <c r="K141" s="641"/>
      <c r="L141" s="769"/>
      <c r="M141" s="10"/>
    </row>
    <row r="142" spans="2:13" x14ac:dyDescent="0.25">
      <c r="B142" s="770"/>
      <c r="C142" s="647"/>
      <c r="D142" s="647"/>
      <c r="E142" s="647"/>
      <c r="F142" s="647"/>
      <c r="G142" s="647"/>
      <c r="H142" s="647"/>
      <c r="I142" s="647"/>
      <c r="J142" s="647"/>
      <c r="K142" s="647"/>
      <c r="L142" s="771"/>
      <c r="M142" s="10"/>
    </row>
    <row r="143" spans="2:13" x14ac:dyDescent="0.25">
      <c r="B143" s="747" t="str">
        <f>D$26</f>
        <v>tonnes</v>
      </c>
      <c r="C143" s="748"/>
      <c r="D143" s="748"/>
      <c r="E143" s="137"/>
      <c r="F143" s="137"/>
      <c r="G143" s="137"/>
      <c r="H143" s="137"/>
      <c r="I143" s="137"/>
      <c r="J143" s="137"/>
      <c r="K143" s="137"/>
      <c r="L143" s="138"/>
      <c r="M143" s="10"/>
    </row>
    <row r="144" spans="2:13" x14ac:dyDescent="0.25">
      <c r="B144" s="747" t="str">
        <f>D$27</f>
        <v>valeur d'achat nette rendue (CAD)</v>
      </c>
      <c r="C144" s="748"/>
      <c r="D144" s="748"/>
      <c r="E144" s="137"/>
      <c r="F144" s="137"/>
      <c r="G144" s="137"/>
      <c r="H144" s="137"/>
      <c r="I144" s="137"/>
      <c r="J144" s="137"/>
      <c r="K144" s="137"/>
      <c r="L144" s="138"/>
      <c r="M144" s="10"/>
    </row>
    <row r="145" spans="1:19" x14ac:dyDescent="0.25">
      <c r="B145" s="747" t="str">
        <f>D$28</f>
        <v>$ / tonne</v>
      </c>
      <c r="C145" s="748"/>
      <c r="D145" s="748"/>
      <c r="E145" s="151" t="str">
        <f t="shared" ref="E145:L145" si="48">IF(E143=0,"-",E144/E143)</f>
        <v>-</v>
      </c>
      <c r="F145" s="151" t="str">
        <f t="shared" si="48"/>
        <v>-</v>
      </c>
      <c r="G145" s="151" t="str">
        <f t="shared" si="48"/>
        <v>-</v>
      </c>
      <c r="H145" s="151" t="str">
        <f t="shared" si="48"/>
        <v>-</v>
      </c>
      <c r="I145" s="151" t="str">
        <f t="shared" si="48"/>
        <v>-</v>
      </c>
      <c r="J145" s="151" t="str">
        <f t="shared" si="48"/>
        <v>-</v>
      </c>
      <c r="K145" s="151" t="str">
        <f t="shared" si="48"/>
        <v>-</v>
      </c>
      <c r="L145" s="152" t="str">
        <f t="shared" si="48"/>
        <v>-</v>
      </c>
      <c r="M145" s="10"/>
    </row>
    <row r="146" spans="1:19" x14ac:dyDescent="0.25">
      <c r="B146" s="113"/>
      <c r="C146" s="114"/>
      <c r="D146" s="114"/>
      <c r="E146" s="29"/>
      <c r="F146" s="29"/>
      <c r="G146" s="29"/>
      <c r="H146" s="29"/>
      <c r="I146" s="29"/>
      <c r="J146" s="29"/>
      <c r="K146" s="29"/>
      <c r="L146" s="30"/>
      <c r="M146" s="10"/>
    </row>
    <row r="147" spans="1:19" x14ac:dyDescent="0.25">
      <c r="B147" s="530" t="str">
        <f>IF(Intro!$G$20="English",O147,P147)</f>
        <v>Dans le tableau ci-dessous, « Erreur » signifie que les importations totales des produits de référence de votre entreprise dépassent les importations totales de votre entreprise pour cette période. Par conséquent, veuillez modifier les données ci-dessus si nécessaire.</v>
      </c>
      <c r="C147" s="531"/>
      <c r="D147" s="531"/>
      <c r="E147" s="531"/>
      <c r="F147" s="531"/>
      <c r="G147" s="531"/>
      <c r="H147" s="531"/>
      <c r="I147" s="531"/>
      <c r="J147" s="531"/>
      <c r="K147" s="531"/>
      <c r="L147" s="532"/>
      <c r="M147" s="10"/>
      <c r="O147" s="10" t="s">
        <v>361</v>
      </c>
      <c r="P147" s="10" t="s">
        <v>362</v>
      </c>
      <c r="S147" s="38"/>
    </row>
    <row r="148" spans="1:19" x14ac:dyDescent="0.25">
      <c r="B148" s="530"/>
      <c r="C148" s="531"/>
      <c r="D148" s="531"/>
      <c r="E148" s="531"/>
      <c r="F148" s="531"/>
      <c r="G148" s="531"/>
      <c r="H148" s="531"/>
      <c r="I148" s="531"/>
      <c r="J148" s="531"/>
      <c r="K148" s="531"/>
      <c r="L148" s="532"/>
      <c r="M148" s="10"/>
      <c r="S148" s="38"/>
    </row>
    <row r="149" spans="1:19" x14ac:dyDescent="0.25">
      <c r="B149" s="61"/>
      <c r="C149" s="62"/>
      <c r="D149" s="62"/>
      <c r="E149" s="29"/>
      <c r="F149" s="29"/>
      <c r="G149" s="29"/>
      <c r="H149" s="29"/>
      <c r="I149" s="29"/>
      <c r="J149" s="29"/>
      <c r="K149" s="29"/>
      <c r="L149" s="30"/>
      <c r="M149" s="10"/>
      <c r="S149" s="38"/>
    </row>
    <row r="150" spans="1:19" ht="14.1" customHeight="1" x14ac:dyDescent="0.25">
      <c r="B150" s="760" t="str">
        <f>Variables!D66</f>
        <v>Vérification - volume</v>
      </c>
      <c r="C150" s="761"/>
      <c r="D150" s="761"/>
      <c r="E150" s="761"/>
      <c r="F150" s="762"/>
      <c r="G150" s="176">
        <f>G80</f>
        <v>2024</v>
      </c>
      <c r="H150" s="176">
        <f>H80</f>
        <v>2025</v>
      </c>
      <c r="I150" s="176" t="str">
        <f>I80</f>
        <v>janv.-mars 2025</v>
      </c>
      <c r="J150" s="208" t="str">
        <f>J80</f>
        <v>janv.-mars 2026</v>
      </c>
      <c r="K150" s="225"/>
      <c r="L150" s="226"/>
      <c r="M150" s="10"/>
    </row>
    <row r="151" spans="1:19" ht="14.1" customHeight="1" x14ac:dyDescent="0.25">
      <c r="B151" s="789" t="str">
        <f>B98</f>
        <v>tonnes</v>
      </c>
      <c r="C151" s="790"/>
      <c r="D151" s="790"/>
      <c r="E151" s="790"/>
      <c r="F151" s="791"/>
      <c r="G151" s="187" t="str">
        <f>IF(SUM(E98:G98,E103:G103,E108:G108,E113:G113,E118:G118,E123:G123,E128:G128,E133:G133,E138:G138,E143:G143)&gt;H26,Variables!$D$67,Variables!$D$68)</f>
        <v>Correct</v>
      </c>
      <c r="H151" s="187" t="str">
        <f>IF(SUM(H98:K98,H103:K103,H108:K108,H113:K113,H118:K118,H123:K123,H128:K128,H133:K133,H138:K138,H143:K143)&gt;I26,Variables!$D$67,Variables!$D$68)</f>
        <v>Correct</v>
      </c>
      <c r="I151" s="187" t="str">
        <f>IF(SUM(H98,H103,H108,H113,H118,H123,H128,H133,H138,H143)&gt;J26,Variables!$D$67,Variables!$D$68)</f>
        <v>Correct</v>
      </c>
      <c r="J151" s="187" t="str">
        <f>IF(SUM(L98,L103,L108,L113,L118,L123,L128,L133,L138,L143)&gt;K26,Variables!$D$67,Variables!$D$68)</f>
        <v>Correct</v>
      </c>
      <c r="K151" s="225"/>
      <c r="L151" s="226"/>
      <c r="M151" s="10"/>
    </row>
    <row r="152" spans="1:19" ht="14.1" customHeight="1" x14ac:dyDescent="0.25">
      <c r="B152" s="763" t="str">
        <f>IF(Intro!$G$20="English",O152,P152)</f>
        <v>volume - total des importations des produits de référence (Question 3)</v>
      </c>
      <c r="C152" s="764"/>
      <c r="D152" s="764"/>
      <c r="E152" s="764"/>
      <c r="F152" s="765"/>
      <c r="G152" s="187">
        <f>SUM(E98:G98,E103:G103,E108:G108,E113:G113,E118:G118,E123:G123,E128:G128,E133:G133,E138:G138,E143:G143)</f>
        <v>0</v>
      </c>
      <c r="H152" s="187">
        <f>SUM(H98:K98,H103:K103,H108:K108,H113:K113,H118:K118,H123:K123,H128:K128,H133:K133,H138:K138,H143:K143)</f>
        <v>0</v>
      </c>
      <c r="I152" s="187">
        <f>SUM(H98,H103,H108,H113,H118,H123,H128,H133,H138,H143)</f>
        <v>0</v>
      </c>
      <c r="J152" s="187">
        <f>SUM(L98,L103,L108,L113,L118,L123,L128,L133,L138,L143)</f>
        <v>0</v>
      </c>
      <c r="K152" s="225"/>
      <c r="L152" s="226"/>
      <c r="M152" s="10"/>
      <c r="O152" s="10" t="s">
        <v>431</v>
      </c>
      <c r="P152" s="10" t="s">
        <v>432</v>
      </c>
    </row>
    <row r="153" spans="1:19" ht="14.1" customHeight="1" x14ac:dyDescent="0.25">
      <c r="B153" s="763" t="str">
        <f>IF(Intro!$G$20="English",O153,P153)</f>
        <v>volume - total des importations (Question 1)</v>
      </c>
      <c r="C153" s="764"/>
      <c r="D153" s="764"/>
      <c r="E153" s="764"/>
      <c r="F153" s="765"/>
      <c r="G153" s="187">
        <f>H26</f>
        <v>0</v>
      </c>
      <c r="H153" s="187">
        <f>I26</f>
        <v>0</v>
      </c>
      <c r="I153" s="187">
        <f>J26</f>
        <v>0</v>
      </c>
      <c r="J153" s="187">
        <f>K26</f>
        <v>0</v>
      </c>
      <c r="K153" s="225"/>
      <c r="L153" s="226"/>
      <c r="M153" s="10"/>
      <c r="O153" s="10" t="s">
        <v>433</v>
      </c>
      <c r="P153" s="10" t="s">
        <v>434</v>
      </c>
    </row>
    <row r="154" spans="1:19" x14ac:dyDescent="0.25">
      <c r="B154" s="760" t="str">
        <f>Variables!D70</f>
        <v>Vérification - valeur</v>
      </c>
      <c r="C154" s="761"/>
      <c r="D154" s="761"/>
      <c r="E154" s="761"/>
      <c r="F154" s="762"/>
      <c r="G154" s="176">
        <f>G150</f>
        <v>2024</v>
      </c>
      <c r="H154" s="176">
        <f>H150</f>
        <v>2025</v>
      </c>
      <c r="I154" s="176" t="str">
        <f>I150</f>
        <v>janv.-mars 2025</v>
      </c>
      <c r="J154" s="208" t="str">
        <f>J150</f>
        <v>janv.-mars 2026</v>
      </c>
      <c r="K154" s="225"/>
      <c r="L154" s="226"/>
      <c r="M154" s="10"/>
    </row>
    <row r="155" spans="1:19" ht="14.1" customHeight="1" x14ac:dyDescent="0.25">
      <c r="B155" s="789" t="str">
        <f>B99</f>
        <v>valeur d'achat nette rendue (CAD)</v>
      </c>
      <c r="C155" s="790"/>
      <c r="D155" s="790"/>
      <c r="E155" s="790"/>
      <c r="F155" s="791"/>
      <c r="G155" s="187" t="str">
        <f>IF(SUM(E99:G99,E104:G104,E109:G109,E114:G114,E119:G119,E124:G124,E129:G129,E134:G134,E139:G139,E144:G144)&gt;H27,Variables!$D$67,Variables!$D$68)</f>
        <v>Correct</v>
      </c>
      <c r="H155" s="187" t="str">
        <f>IF(SUM(H99:K99,H104:K104,H109:K109,H114:K114,H119:K119,H124:K124,H129:K129,H134:K134,H139:K139,H144:K144)&gt;I27,Variables!$D$67,Variables!$D$68)</f>
        <v>Correct</v>
      </c>
      <c r="I155" s="187" t="str">
        <f>IF(SUM(H99,H104,H109,H114,H119,H124,H129,H134,H139,H144)&gt;J27,Variables!$D$67,Variables!$D$68)</f>
        <v>Correct</v>
      </c>
      <c r="J155" s="187" t="str">
        <f>IF(SUM(L99,L104,L109,L114,L119,L124,L129,L134,L139,L144)&gt;K27,Variables!$D$67,Variables!$D$68)</f>
        <v>Correct</v>
      </c>
      <c r="K155" s="225"/>
      <c r="L155" s="226"/>
      <c r="M155" s="10"/>
    </row>
    <row r="156" spans="1:19" ht="14.1" customHeight="1" x14ac:dyDescent="0.25">
      <c r="B156" s="763" t="str">
        <f>IF(Intro!$G$20="English",O156,P156)</f>
        <v>valeur - total des importations des produits de référence (Question 3)</v>
      </c>
      <c r="C156" s="764"/>
      <c r="D156" s="764"/>
      <c r="E156" s="764"/>
      <c r="F156" s="765"/>
      <c r="G156" s="187">
        <f>SUM(E99:G99,E104:G104,E109:G109,E114:G114,E119:G119,E124:G124,E129:G129,E134:G134,E139:G139,E144:G144)</f>
        <v>0</v>
      </c>
      <c r="H156" s="187">
        <f>SUM(H99:K99,H104:K104,H109:K109,H114:K114,H119:K119,H124:K124,H129:K129,H134:K134,H139:K139,H144:K144)</f>
        <v>0</v>
      </c>
      <c r="I156" s="187">
        <f>SUM(H99,H104,H109,H114,H119,H124,H129,H134,H139,H144)</f>
        <v>0</v>
      </c>
      <c r="J156" s="187">
        <f>SUM(L99,L104,L109,L114,L119,L124,L129,L134,L139,L144)</f>
        <v>0</v>
      </c>
      <c r="K156" s="225"/>
      <c r="L156" s="226"/>
      <c r="M156" s="10"/>
      <c r="O156" s="10" t="s">
        <v>435</v>
      </c>
      <c r="P156" s="10" t="s">
        <v>436</v>
      </c>
    </row>
    <row r="157" spans="1:19" ht="14.1" customHeight="1" x14ac:dyDescent="0.25">
      <c r="B157" s="763" t="str">
        <f>IF(Intro!$G$20="English",O157,P157)</f>
        <v>valeur - total des importations (Question 1)</v>
      </c>
      <c r="C157" s="764"/>
      <c r="D157" s="764"/>
      <c r="E157" s="764"/>
      <c r="F157" s="765"/>
      <c r="G157" s="187">
        <f>H27</f>
        <v>0</v>
      </c>
      <c r="H157" s="187">
        <f>I27</f>
        <v>0</v>
      </c>
      <c r="I157" s="187">
        <f>J27</f>
        <v>0</v>
      </c>
      <c r="J157" s="187">
        <f>K27</f>
        <v>0</v>
      </c>
      <c r="K157" s="225"/>
      <c r="L157" s="226"/>
      <c r="M157" s="10"/>
      <c r="O157" s="10" t="s">
        <v>437</v>
      </c>
      <c r="P157" s="10" t="s">
        <v>438</v>
      </c>
    </row>
    <row r="158" spans="1:19" x14ac:dyDescent="0.25">
      <c r="B158" s="72"/>
      <c r="C158" s="69"/>
      <c r="D158" s="69"/>
      <c r="E158" s="69"/>
      <c r="F158" s="69"/>
      <c r="G158" s="69"/>
      <c r="H158" s="69"/>
      <c r="I158" s="69"/>
      <c r="J158" s="69"/>
      <c r="K158" s="69"/>
      <c r="L158" s="70"/>
      <c r="M158" s="10"/>
    </row>
    <row r="159" spans="1:19" s="11" customFormat="1" x14ac:dyDescent="0.25">
      <c r="A159" s="7"/>
      <c r="B159" s="91"/>
      <c r="C159" s="91"/>
      <c r="D159" s="89"/>
      <c r="E159" s="90"/>
      <c r="F159" s="90"/>
      <c r="G159" s="90"/>
      <c r="H159" s="90"/>
      <c r="I159" s="90"/>
      <c r="J159" s="90"/>
      <c r="K159" s="90"/>
      <c r="L159" s="90"/>
      <c r="M159" s="73"/>
    </row>
    <row r="160" spans="1:19" x14ac:dyDescent="0.25">
      <c r="B160" s="533" t="str">
        <f>IF(Intro!$G$20="English",O160,P160)</f>
        <v>VENTES AU CANADA D'IMPORTATIONS DE PRODUITS DE RÉFÉRENCE</v>
      </c>
      <c r="C160" s="534"/>
      <c r="D160" s="534"/>
      <c r="E160" s="534"/>
      <c r="F160" s="534"/>
      <c r="G160" s="534"/>
      <c r="H160" s="534"/>
      <c r="I160" s="534"/>
      <c r="J160" s="534"/>
      <c r="K160" s="534"/>
      <c r="L160" s="535"/>
      <c r="M160" s="10"/>
      <c r="O160" s="105" t="s">
        <v>336</v>
      </c>
      <c r="P160" s="105" t="s">
        <v>400</v>
      </c>
    </row>
    <row r="161" spans="2:16" x14ac:dyDescent="0.25">
      <c r="B161" s="671" t="s">
        <v>17</v>
      </c>
      <c r="C161" s="672"/>
      <c r="D161" s="672"/>
      <c r="E161" s="672"/>
      <c r="F161" s="672"/>
      <c r="G161" s="672"/>
      <c r="H161" s="672"/>
      <c r="I161" s="672"/>
      <c r="J161" s="672"/>
      <c r="K161" s="672"/>
      <c r="L161" s="673"/>
      <c r="M161" s="10"/>
    </row>
    <row r="162" spans="2:16" x14ac:dyDescent="0.25">
      <c r="B162" s="16"/>
      <c r="C162" s="35"/>
      <c r="D162" s="35"/>
      <c r="E162" s="36"/>
      <c r="F162" s="36"/>
      <c r="G162" s="36"/>
      <c r="H162" s="36"/>
      <c r="I162" s="36"/>
      <c r="J162" s="36"/>
      <c r="K162" s="36"/>
      <c r="L162" s="17"/>
      <c r="M162" s="10"/>
    </row>
    <row r="163" spans="2:16" x14ac:dyDescent="0.25">
      <c r="B163" s="530" t="str">
        <f>IF(Intro!$G$20="English",O163,P163)</f>
        <v>Indiquez le volume et la valeur des ventes d'importations au Canada pour chaque produit de référence :</v>
      </c>
      <c r="C163" s="531"/>
      <c r="D163" s="531"/>
      <c r="E163" s="531"/>
      <c r="F163" s="531"/>
      <c r="G163" s="531"/>
      <c r="H163" s="531"/>
      <c r="I163" s="531"/>
      <c r="J163" s="531"/>
      <c r="K163" s="531"/>
      <c r="L163" s="532"/>
      <c r="M163" s="10"/>
      <c r="O163" s="18" t="s">
        <v>171</v>
      </c>
      <c r="P163" s="10" t="s">
        <v>399</v>
      </c>
    </row>
    <row r="164" spans="2:16" x14ac:dyDescent="0.25">
      <c r="B164" s="530" t="str">
        <f>Pro!B22</f>
        <v>Note - Ne répondez à cette question que si votre entreprise a vendu les marchandises du 1er janvier 2023 au 31 mars 2026.</v>
      </c>
      <c r="C164" s="531"/>
      <c r="D164" s="531"/>
      <c r="E164" s="531"/>
      <c r="F164" s="531"/>
      <c r="G164" s="531"/>
      <c r="H164" s="531"/>
      <c r="I164" s="531"/>
      <c r="J164" s="531"/>
      <c r="K164" s="531"/>
      <c r="L164" s="532"/>
      <c r="M164" s="10"/>
      <c r="O164" s="18"/>
    </row>
    <row r="165" spans="2:16" x14ac:dyDescent="0.25">
      <c r="B165" s="61"/>
      <c r="C165" s="62"/>
      <c r="D165" s="35"/>
      <c r="E165" s="36"/>
      <c r="F165" s="36"/>
      <c r="G165" s="36"/>
      <c r="H165" s="36"/>
      <c r="I165" s="36"/>
      <c r="J165" s="36"/>
      <c r="K165" s="36"/>
      <c r="L165" s="17"/>
      <c r="M165" s="10"/>
      <c r="O165" s="18"/>
    </row>
    <row r="166" spans="2:16" x14ac:dyDescent="0.25">
      <c r="B166" s="772"/>
      <c r="C166" s="773"/>
      <c r="D166" s="774"/>
      <c r="E166" s="125" t="str">
        <f t="shared" ref="E166:L166" si="49">E95</f>
        <v>T2 - 2024</v>
      </c>
      <c r="F166" s="125" t="str">
        <f t="shared" si="49"/>
        <v>T3 - 2024</v>
      </c>
      <c r="G166" s="125" t="str">
        <f t="shared" si="49"/>
        <v>T4 - 2024</v>
      </c>
      <c r="H166" s="125" t="str">
        <f t="shared" si="49"/>
        <v>T1 - 2025</v>
      </c>
      <c r="I166" s="125" t="str">
        <f t="shared" si="49"/>
        <v>T2 - 2025</v>
      </c>
      <c r="J166" s="125" t="str">
        <f t="shared" si="49"/>
        <v>T3 - 2025</v>
      </c>
      <c r="K166" s="125" t="str">
        <f t="shared" si="49"/>
        <v>T4 - 2025</v>
      </c>
      <c r="L166" s="136" t="str">
        <f t="shared" si="49"/>
        <v>T1 - 2026</v>
      </c>
      <c r="M166" s="10"/>
      <c r="O166" s="18"/>
    </row>
    <row r="167" spans="2:16" x14ac:dyDescent="0.25">
      <c r="B167" s="768" t="str">
        <f>B96</f>
        <v xml:space="preserve">Tubage sans soudure L80 (y compris les améliorations) avec raccord API </v>
      </c>
      <c r="C167" s="641"/>
      <c r="D167" s="641"/>
      <c r="E167" s="641"/>
      <c r="F167" s="641"/>
      <c r="G167" s="641"/>
      <c r="H167" s="641"/>
      <c r="I167" s="641"/>
      <c r="J167" s="641"/>
      <c r="K167" s="641"/>
      <c r="L167" s="769"/>
      <c r="M167" s="10"/>
    </row>
    <row r="168" spans="2:16" x14ac:dyDescent="0.25">
      <c r="B168" s="770"/>
      <c r="C168" s="647"/>
      <c r="D168" s="647"/>
      <c r="E168" s="647"/>
      <c r="F168" s="647"/>
      <c r="G168" s="647"/>
      <c r="H168" s="647"/>
      <c r="I168" s="647"/>
      <c r="J168" s="647"/>
      <c r="K168" s="647"/>
      <c r="L168" s="771"/>
      <c r="M168" s="10"/>
    </row>
    <row r="169" spans="2:16" x14ac:dyDescent="0.25">
      <c r="B169" s="747" t="str">
        <f>D$31</f>
        <v>tonnes</v>
      </c>
      <c r="C169" s="748"/>
      <c r="D169" s="748"/>
      <c r="E169" s="137"/>
      <c r="F169" s="137"/>
      <c r="G169" s="137"/>
      <c r="H169" s="137"/>
      <c r="I169" s="137"/>
      <c r="J169" s="137"/>
      <c r="K169" s="137"/>
      <c r="L169" s="138"/>
      <c r="M169" s="10"/>
    </row>
    <row r="170" spans="2:16" x14ac:dyDescent="0.25">
      <c r="B170" s="747" t="str">
        <f>D$32</f>
        <v>valeur de vente nette rendue (CAD)</v>
      </c>
      <c r="C170" s="748"/>
      <c r="D170" s="748"/>
      <c r="E170" s="137"/>
      <c r="F170" s="137"/>
      <c r="G170" s="137"/>
      <c r="H170" s="137"/>
      <c r="I170" s="137"/>
      <c r="J170" s="137"/>
      <c r="K170" s="137"/>
      <c r="L170" s="138"/>
      <c r="M170" s="10"/>
    </row>
    <row r="171" spans="2:16" x14ac:dyDescent="0.25">
      <c r="B171" s="747" t="str">
        <f>D$33</f>
        <v>$ / tonne</v>
      </c>
      <c r="C171" s="748"/>
      <c r="D171" s="748"/>
      <c r="E171" s="151" t="str">
        <f t="shared" ref="E171:L171" si="50">IF(E169=0,"-",E170/E169)</f>
        <v>-</v>
      </c>
      <c r="F171" s="151" t="str">
        <f t="shared" si="50"/>
        <v>-</v>
      </c>
      <c r="G171" s="151" t="str">
        <f t="shared" si="50"/>
        <v>-</v>
      </c>
      <c r="H171" s="151" t="str">
        <f t="shared" si="50"/>
        <v>-</v>
      </c>
      <c r="I171" s="151" t="str">
        <f t="shared" si="50"/>
        <v>-</v>
      </c>
      <c r="J171" s="151" t="str">
        <f t="shared" si="50"/>
        <v>-</v>
      </c>
      <c r="K171" s="151" t="str">
        <f t="shared" si="50"/>
        <v>-</v>
      </c>
      <c r="L171" s="152" t="str">
        <f t="shared" si="50"/>
        <v>-</v>
      </c>
      <c r="M171" s="10"/>
    </row>
    <row r="172" spans="2:16" x14ac:dyDescent="0.25">
      <c r="B172" s="768" t="str">
        <f>B101</f>
        <v>Tubage soudé L80 (y compris les améliorations) avec raccord API</v>
      </c>
      <c r="C172" s="641"/>
      <c r="D172" s="641"/>
      <c r="E172" s="641"/>
      <c r="F172" s="641"/>
      <c r="G172" s="641"/>
      <c r="H172" s="641"/>
      <c r="I172" s="641"/>
      <c r="J172" s="641"/>
      <c r="K172" s="641"/>
      <c r="L172" s="769"/>
      <c r="M172" s="10"/>
    </row>
    <row r="173" spans="2:16" x14ac:dyDescent="0.25">
      <c r="B173" s="770"/>
      <c r="C173" s="647"/>
      <c r="D173" s="647"/>
      <c r="E173" s="647"/>
      <c r="F173" s="647"/>
      <c r="G173" s="647"/>
      <c r="H173" s="647"/>
      <c r="I173" s="647"/>
      <c r="J173" s="647"/>
      <c r="K173" s="647"/>
      <c r="L173" s="771"/>
      <c r="M173" s="10"/>
    </row>
    <row r="174" spans="2:16" x14ac:dyDescent="0.25">
      <c r="B174" s="747" t="str">
        <f>D$31</f>
        <v>tonnes</v>
      </c>
      <c r="C174" s="748"/>
      <c r="D174" s="748"/>
      <c r="E174" s="137"/>
      <c r="F174" s="137"/>
      <c r="G174" s="137"/>
      <c r="H174" s="137"/>
      <c r="I174" s="137"/>
      <c r="J174" s="137"/>
      <c r="K174" s="137"/>
      <c r="L174" s="138"/>
      <c r="M174" s="10"/>
    </row>
    <row r="175" spans="2:16" x14ac:dyDescent="0.25">
      <c r="B175" s="747" t="str">
        <f>D$32</f>
        <v>valeur de vente nette rendue (CAD)</v>
      </c>
      <c r="C175" s="748"/>
      <c r="D175" s="748"/>
      <c r="E175" s="137"/>
      <c r="F175" s="137"/>
      <c r="G175" s="137"/>
      <c r="H175" s="137"/>
      <c r="I175" s="137"/>
      <c r="J175" s="137"/>
      <c r="K175" s="137"/>
      <c r="L175" s="138"/>
      <c r="M175" s="10"/>
    </row>
    <row r="176" spans="2:16" x14ac:dyDescent="0.25">
      <c r="B176" s="747" t="str">
        <f>D$33</f>
        <v>$ / tonne</v>
      </c>
      <c r="C176" s="748"/>
      <c r="D176" s="748"/>
      <c r="E176" s="151" t="str">
        <f>IF(E174=0,"-",E175/E174)</f>
        <v>-</v>
      </c>
      <c r="F176" s="151" t="str">
        <f t="shared" ref="F176:L176" si="51">IF(F174=0,"-",F175/F174)</f>
        <v>-</v>
      </c>
      <c r="G176" s="151" t="str">
        <f t="shared" si="51"/>
        <v>-</v>
      </c>
      <c r="H176" s="151" t="str">
        <f t="shared" si="51"/>
        <v>-</v>
      </c>
      <c r="I176" s="151" t="str">
        <f t="shared" si="51"/>
        <v>-</v>
      </c>
      <c r="J176" s="151" t="str">
        <f t="shared" si="51"/>
        <v>-</v>
      </c>
      <c r="K176" s="151" t="str">
        <f t="shared" si="51"/>
        <v>-</v>
      </c>
      <c r="L176" s="152" t="str">
        <f t="shared" si="51"/>
        <v>-</v>
      </c>
      <c r="M176" s="10"/>
    </row>
    <row r="177" spans="2:13" x14ac:dyDescent="0.25">
      <c r="B177" s="768" t="str">
        <f>B106</f>
        <v xml:space="preserve">Tubage sans soudure L80 (y compris les améliorations) avec raccord de qualité semi-supérieure </v>
      </c>
      <c r="C177" s="641"/>
      <c r="D177" s="641"/>
      <c r="E177" s="641"/>
      <c r="F177" s="641"/>
      <c r="G177" s="641"/>
      <c r="H177" s="641"/>
      <c r="I177" s="641"/>
      <c r="J177" s="641"/>
      <c r="K177" s="641"/>
      <c r="L177" s="769"/>
      <c r="M177" s="10"/>
    </row>
    <row r="178" spans="2:13" x14ac:dyDescent="0.25">
      <c r="B178" s="770"/>
      <c r="C178" s="647"/>
      <c r="D178" s="647"/>
      <c r="E178" s="647"/>
      <c r="F178" s="647"/>
      <c r="G178" s="647"/>
      <c r="H178" s="647"/>
      <c r="I178" s="647"/>
      <c r="J178" s="647"/>
      <c r="K178" s="647"/>
      <c r="L178" s="771"/>
      <c r="M178" s="10"/>
    </row>
    <row r="179" spans="2:13" x14ac:dyDescent="0.25">
      <c r="B179" s="747" t="str">
        <f>D$31</f>
        <v>tonnes</v>
      </c>
      <c r="C179" s="748"/>
      <c r="D179" s="748"/>
      <c r="E179" s="137"/>
      <c r="F179" s="137"/>
      <c r="G179" s="137"/>
      <c r="H179" s="137"/>
      <c r="I179" s="137"/>
      <c r="J179" s="137"/>
      <c r="K179" s="137"/>
      <c r="L179" s="138"/>
      <c r="M179" s="10"/>
    </row>
    <row r="180" spans="2:13" x14ac:dyDescent="0.25">
      <c r="B180" s="747" t="str">
        <f>D$32</f>
        <v>valeur de vente nette rendue (CAD)</v>
      </c>
      <c r="C180" s="748"/>
      <c r="D180" s="748"/>
      <c r="E180" s="137"/>
      <c r="F180" s="137"/>
      <c r="G180" s="137"/>
      <c r="H180" s="137"/>
      <c r="I180" s="137"/>
      <c r="J180" s="137"/>
      <c r="K180" s="137"/>
      <c r="L180" s="138"/>
      <c r="M180" s="10"/>
    </row>
    <row r="181" spans="2:13" x14ac:dyDescent="0.25">
      <c r="B181" s="747" t="str">
        <f>D$33</f>
        <v>$ / tonne</v>
      </c>
      <c r="C181" s="748"/>
      <c r="D181" s="748"/>
      <c r="E181" s="151" t="str">
        <f>IF(E179=0,"-",E180/E179)</f>
        <v>-</v>
      </c>
      <c r="F181" s="151" t="str">
        <f t="shared" ref="F181:L181" si="52">IF(F179=0,"-",F180/F179)</f>
        <v>-</v>
      </c>
      <c r="G181" s="151" t="str">
        <f t="shared" si="52"/>
        <v>-</v>
      </c>
      <c r="H181" s="151" t="str">
        <f t="shared" si="52"/>
        <v>-</v>
      </c>
      <c r="I181" s="151" t="str">
        <f t="shared" si="52"/>
        <v>-</v>
      </c>
      <c r="J181" s="151" t="str">
        <f t="shared" si="52"/>
        <v>-</v>
      </c>
      <c r="K181" s="151" t="str">
        <f t="shared" si="52"/>
        <v>-</v>
      </c>
      <c r="L181" s="152" t="str">
        <f t="shared" si="52"/>
        <v>-</v>
      </c>
      <c r="M181" s="10"/>
    </row>
    <row r="182" spans="2:13" x14ac:dyDescent="0.25">
      <c r="B182" s="768" t="str">
        <f>B111</f>
        <v xml:space="preserve">Tubage soudé L80 (y compris les améliorations) avec raccord de qualité semi-supérieure </v>
      </c>
      <c r="C182" s="641"/>
      <c r="D182" s="641"/>
      <c r="E182" s="641"/>
      <c r="F182" s="641"/>
      <c r="G182" s="641"/>
      <c r="H182" s="641"/>
      <c r="I182" s="641"/>
      <c r="J182" s="641"/>
      <c r="K182" s="641"/>
      <c r="L182" s="769"/>
      <c r="M182" s="10"/>
    </row>
    <row r="183" spans="2:13" x14ac:dyDescent="0.25">
      <c r="B183" s="770"/>
      <c r="C183" s="647"/>
      <c r="D183" s="647"/>
      <c r="E183" s="647"/>
      <c r="F183" s="647"/>
      <c r="G183" s="647"/>
      <c r="H183" s="647"/>
      <c r="I183" s="647"/>
      <c r="J183" s="647"/>
      <c r="K183" s="647"/>
      <c r="L183" s="771"/>
      <c r="M183" s="10"/>
    </row>
    <row r="184" spans="2:13" x14ac:dyDescent="0.25">
      <c r="B184" s="747" t="str">
        <f>D$31</f>
        <v>tonnes</v>
      </c>
      <c r="C184" s="748"/>
      <c r="D184" s="748"/>
      <c r="E184" s="137"/>
      <c r="F184" s="137"/>
      <c r="G184" s="137"/>
      <c r="H184" s="137"/>
      <c r="I184" s="137"/>
      <c r="J184" s="137"/>
      <c r="K184" s="137"/>
      <c r="L184" s="138"/>
      <c r="M184" s="10"/>
    </row>
    <row r="185" spans="2:13" x14ac:dyDescent="0.25">
      <c r="B185" s="747" t="str">
        <f>D$32</f>
        <v>valeur de vente nette rendue (CAD)</v>
      </c>
      <c r="C185" s="748"/>
      <c r="D185" s="748"/>
      <c r="E185" s="137"/>
      <c r="F185" s="137"/>
      <c r="G185" s="137"/>
      <c r="H185" s="137"/>
      <c r="I185" s="137"/>
      <c r="J185" s="137"/>
      <c r="K185" s="137"/>
      <c r="L185" s="138"/>
      <c r="M185" s="10"/>
    </row>
    <row r="186" spans="2:13" x14ac:dyDescent="0.25">
      <c r="B186" s="747" t="str">
        <f>D$33</f>
        <v>$ / tonne</v>
      </c>
      <c r="C186" s="748"/>
      <c r="D186" s="748"/>
      <c r="E186" s="151" t="str">
        <f>IF(E184=0,"-",E185/E184)</f>
        <v>-</v>
      </c>
      <c r="F186" s="151" t="str">
        <f t="shared" ref="F186:L186" si="53">IF(F184=0,"-",F185/F184)</f>
        <v>-</v>
      </c>
      <c r="G186" s="151" t="str">
        <f t="shared" si="53"/>
        <v>-</v>
      </c>
      <c r="H186" s="151" t="str">
        <f t="shared" si="53"/>
        <v>-</v>
      </c>
      <c r="I186" s="151" t="str">
        <f t="shared" si="53"/>
        <v>-</v>
      </c>
      <c r="J186" s="151" t="str">
        <f t="shared" si="53"/>
        <v>-</v>
      </c>
      <c r="K186" s="151" t="str">
        <f t="shared" si="53"/>
        <v>-</v>
      </c>
      <c r="L186" s="152" t="str">
        <f t="shared" si="53"/>
        <v>-</v>
      </c>
      <c r="M186" s="10"/>
    </row>
    <row r="187" spans="2:13" x14ac:dyDescent="0.25">
      <c r="B187" s="768" t="str">
        <f>B116</f>
        <v xml:space="preserve">Tubage sans soudure P110 (y compris les améliorations) avec raccord API </v>
      </c>
      <c r="C187" s="641"/>
      <c r="D187" s="641"/>
      <c r="E187" s="641"/>
      <c r="F187" s="641"/>
      <c r="G187" s="641"/>
      <c r="H187" s="641"/>
      <c r="I187" s="641"/>
      <c r="J187" s="641"/>
      <c r="K187" s="641"/>
      <c r="L187" s="769"/>
      <c r="M187" s="10"/>
    </row>
    <row r="188" spans="2:13" x14ac:dyDescent="0.25">
      <c r="B188" s="770"/>
      <c r="C188" s="647"/>
      <c r="D188" s="647"/>
      <c r="E188" s="647"/>
      <c r="F188" s="647"/>
      <c r="G188" s="647"/>
      <c r="H188" s="647"/>
      <c r="I188" s="647"/>
      <c r="J188" s="647"/>
      <c r="K188" s="647"/>
      <c r="L188" s="771"/>
      <c r="M188" s="10"/>
    </row>
    <row r="189" spans="2:13" x14ac:dyDescent="0.25">
      <c r="B189" s="747" t="str">
        <f>D$31</f>
        <v>tonnes</v>
      </c>
      <c r="C189" s="748"/>
      <c r="D189" s="748"/>
      <c r="E189" s="137"/>
      <c r="F189" s="137"/>
      <c r="G189" s="137"/>
      <c r="H189" s="137"/>
      <c r="I189" s="137"/>
      <c r="J189" s="137"/>
      <c r="K189" s="137"/>
      <c r="L189" s="138"/>
      <c r="M189" s="10"/>
    </row>
    <row r="190" spans="2:13" x14ac:dyDescent="0.25">
      <c r="B190" s="747" t="str">
        <f>D$32</f>
        <v>valeur de vente nette rendue (CAD)</v>
      </c>
      <c r="C190" s="748"/>
      <c r="D190" s="748"/>
      <c r="E190" s="137"/>
      <c r="F190" s="137"/>
      <c r="G190" s="137"/>
      <c r="H190" s="137"/>
      <c r="I190" s="137"/>
      <c r="J190" s="137"/>
      <c r="K190" s="137"/>
      <c r="L190" s="138"/>
      <c r="M190" s="10"/>
    </row>
    <row r="191" spans="2:13" x14ac:dyDescent="0.25">
      <c r="B191" s="747" t="str">
        <f>D$33</f>
        <v>$ / tonne</v>
      </c>
      <c r="C191" s="748"/>
      <c r="D191" s="748"/>
      <c r="E191" s="151" t="str">
        <f>IF(E189=0,"-",E190/E189)</f>
        <v>-</v>
      </c>
      <c r="F191" s="151" t="str">
        <f t="shared" ref="F191:L191" si="54">IF(F189=0,"-",F190/F189)</f>
        <v>-</v>
      </c>
      <c r="G191" s="151" t="str">
        <f t="shared" si="54"/>
        <v>-</v>
      </c>
      <c r="H191" s="151" t="str">
        <f t="shared" si="54"/>
        <v>-</v>
      </c>
      <c r="I191" s="151" t="str">
        <f t="shared" si="54"/>
        <v>-</v>
      </c>
      <c r="J191" s="151" t="str">
        <f t="shared" si="54"/>
        <v>-</v>
      </c>
      <c r="K191" s="151" t="str">
        <f t="shared" si="54"/>
        <v>-</v>
      </c>
      <c r="L191" s="152" t="str">
        <f t="shared" si="54"/>
        <v>-</v>
      </c>
      <c r="M191" s="10"/>
    </row>
    <row r="192" spans="2:13" x14ac:dyDescent="0.25">
      <c r="B192" s="768" t="str">
        <f>B121</f>
        <v xml:space="preserve">Tubage soudé P110 (y compris les améliorations) avec raccord API </v>
      </c>
      <c r="C192" s="641"/>
      <c r="D192" s="641"/>
      <c r="E192" s="641"/>
      <c r="F192" s="641"/>
      <c r="G192" s="641"/>
      <c r="H192" s="641"/>
      <c r="I192" s="641"/>
      <c r="J192" s="641"/>
      <c r="K192" s="641"/>
      <c r="L192" s="769"/>
      <c r="M192" s="10"/>
    </row>
    <row r="193" spans="2:13" x14ac:dyDescent="0.25">
      <c r="B193" s="770"/>
      <c r="C193" s="647"/>
      <c r="D193" s="647"/>
      <c r="E193" s="647"/>
      <c r="F193" s="647"/>
      <c r="G193" s="647"/>
      <c r="H193" s="647"/>
      <c r="I193" s="647"/>
      <c r="J193" s="647"/>
      <c r="K193" s="647"/>
      <c r="L193" s="771"/>
      <c r="M193" s="10"/>
    </row>
    <row r="194" spans="2:13" x14ac:dyDescent="0.25">
      <c r="B194" s="747" t="str">
        <f>D$31</f>
        <v>tonnes</v>
      </c>
      <c r="C194" s="748"/>
      <c r="D194" s="748"/>
      <c r="E194" s="137"/>
      <c r="F194" s="137"/>
      <c r="G194" s="137"/>
      <c r="H194" s="137"/>
      <c r="I194" s="137"/>
      <c r="J194" s="137"/>
      <c r="K194" s="137"/>
      <c r="L194" s="138"/>
      <c r="M194" s="10"/>
    </row>
    <row r="195" spans="2:13" x14ac:dyDescent="0.25">
      <c r="B195" s="747" t="str">
        <f>D$32</f>
        <v>valeur de vente nette rendue (CAD)</v>
      </c>
      <c r="C195" s="748"/>
      <c r="D195" s="748"/>
      <c r="E195" s="137"/>
      <c r="F195" s="137"/>
      <c r="G195" s="137"/>
      <c r="H195" s="137"/>
      <c r="I195" s="137"/>
      <c r="J195" s="137"/>
      <c r="K195" s="137"/>
      <c r="L195" s="138"/>
      <c r="M195" s="10"/>
    </row>
    <row r="196" spans="2:13" x14ac:dyDescent="0.25">
      <c r="B196" s="747" t="str">
        <f>D$33</f>
        <v>$ / tonne</v>
      </c>
      <c r="C196" s="748"/>
      <c r="D196" s="748"/>
      <c r="E196" s="151" t="str">
        <f>IF(E194=0,"-",E195/E194)</f>
        <v>-</v>
      </c>
      <c r="F196" s="151" t="str">
        <f t="shared" ref="F196:L196" si="55">IF(F194=0,"-",F195/F194)</f>
        <v>-</v>
      </c>
      <c r="G196" s="151" t="str">
        <f t="shared" si="55"/>
        <v>-</v>
      </c>
      <c r="H196" s="151" t="str">
        <f t="shared" si="55"/>
        <v>-</v>
      </c>
      <c r="I196" s="151" t="str">
        <f t="shared" si="55"/>
        <v>-</v>
      </c>
      <c r="J196" s="151" t="str">
        <f t="shared" si="55"/>
        <v>-</v>
      </c>
      <c r="K196" s="151" t="str">
        <f t="shared" si="55"/>
        <v>-</v>
      </c>
      <c r="L196" s="152" t="str">
        <f t="shared" si="55"/>
        <v>-</v>
      </c>
      <c r="M196" s="10"/>
    </row>
    <row r="197" spans="2:13" x14ac:dyDescent="0.25">
      <c r="B197" s="768" t="str">
        <f>B126</f>
        <v>Tubage sans soudure P110 (y compris les améliorations) avec raccord de qualité semi-supérieure</v>
      </c>
      <c r="C197" s="641"/>
      <c r="D197" s="641"/>
      <c r="E197" s="641"/>
      <c r="F197" s="641"/>
      <c r="G197" s="641"/>
      <c r="H197" s="641"/>
      <c r="I197" s="641"/>
      <c r="J197" s="641"/>
      <c r="K197" s="641"/>
      <c r="L197" s="769"/>
      <c r="M197" s="10"/>
    </row>
    <row r="198" spans="2:13" x14ac:dyDescent="0.25">
      <c r="B198" s="770"/>
      <c r="C198" s="647"/>
      <c r="D198" s="647"/>
      <c r="E198" s="647"/>
      <c r="F198" s="647"/>
      <c r="G198" s="647"/>
      <c r="H198" s="647"/>
      <c r="I198" s="647"/>
      <c r="J198" s="647"/>
      <c r="K198" s="647"/>
      <c r="L198" s="771"/>
      <c r="M198" s="10"/>
    </row>
    <row r="199" spans="2:13" x14ac:dyDescent="0.25">
      <c r="B199" s="747" t="str">
        <f>D$31</f>
        <v>tonnes</v>
      </c>
      <c r="C199" s="748"/>
      <c r="D199" s="748"/>
      <c r="E199" s="137"/>
      <c r="F199" s="137"/>
      <c r="G199" s="137"/>
      <c r="H199" s="137"/>
      <c r="I199" s="137"/>
      <c r="J199" s="137"/>
      <c r="K199" s="137"/>
      <c r="L199" s="138"/>
      <c r="M199" s="10"/>
    </row>
    <row r="200" spans="2:13" x14ac:dyDescent="0.25">
      <c r="B200" s="747" t="str">
        <f>D$32</f>
        <v>valeur de vente nette rendue (CAD)</v>
      </c>
      <c r="C200" s="748"/>
      <c r="D200" s="748"/>
      <c r="E200" s="137"/>
      <c r="F200" s="137"/>
      <c r="G200" s="137"/>
      <c r="H200" s="137"/>
      <c r="I200" s="137"/>
      <c r="J200" s="137"/>
      <c r="K200" s="137"/>
      <c r="L200" s="138"/>
      <c r="M200" s="10"/>
    </row>
    <row r="201" spans="2:13" x14ac:dyDescent="0.25">
      <c r="B201" s="747" t="str">
        <f>D$33</f>
        <v>$ / tonne</v>
      </c>
      <c r="C201" s="748"/>
      <c r="D201" s="748"/>
      <c r="E201" s="151" t="str">
        <f>IF(E199=0,"-",E200/E199)</f>
        <v>-</v>
      </c>
      <c r="F201" s="151" t="str">
        <f t="shared" ref="F201:L201" si="56">IF(F199=0,"-",F200/F199)</f>
        <v>-</v>
      </c>
      <c r="G201" s="151" t="str">
        <f t="shared" si="56"/>
        <v>-</v>
      </c>
      <c r="H201" s="151" t="str">
        <f t="shared" si="56"/>
        <v>-</v>
      </c>
      <c r="I201" s="151" t="str">
        <f t="shared" si="56"/>
        <v>-</v>
      </c>
      <c r="J201" s="151" t="str">
        <f t="shared" si="56"/>
        <v>-</v>
      </c>
      <c r="K201" s="151" t="str">
        <f t="shared" si="56"/>
        <v>-</v>
      </c>
      <c r="L201" s="152" t="str">
        <f t="shared" si="56"/>
        <v>-</v>
      </c>
      <c r="M201" s="10"/>
    </row>
    <row r="202" spans="2:13" x14ac:dyDescent="0.25">
      <c r="B202" s="768" t="str">
        <f>B131</f>
        <v>Tubage soudé P110 (y compris les améliorations) avec raccord de qualité semi-supérieure</v>
      </c>
      <c r="C202" s="641"/>
      <c r="D202" s="641"/>
      <c r="E202" s="641"/>
      <c r="F202" s="641"/>
      <c r="G202" s="641"/>
      <c r="H202" s="641"/>
      <c r="I202" s="641"/>
      <c r="J202" s="641"/>
      <c r="K202" s="641"/>
      <c r="L202" s="769"/>
      <c r="M202" s="10"/>
    </row>
    <row r="203" spans="2:13" x14ac:dyDescent="0.25">
      <c r="B203" s="770"/>
      <c r="C203" s="647"/>
      <c r="D203" s="647"/>
      <c r="E203" s="647"/>
      <c r="F203" s="647"/>
      <c r="G203" s="647"/>
      <c r="H203" s="647"/>
      <c r="I203" s="647"/>
      <c r="J203" s="647"/>
      <c r="K203" s="647"/>
      <c r="L203" s="771"/>
      <c r="M203" s="10"/>
    </row>
    <row r="204" spans="2:13" x14ac:dyDescent="0.25">
      <c r="B204" s="747" t="str">
        <f>D$31</f>
        <v>tonnes</v>
      </c>
      <c r="C204" s="748"/>
      <c r="D204" s="748"/>
      <c r="E204" s="137"/>
      <c r="F204" s="137"/>
      <c r="G204" s="137"/>
      <c r="H204" s="137"/>
      <c r="I204" s="137"/>
      <c r="J204" s="137"/>
      <c r="K204" s="137"/>
      <c r="L204" s="138"/>
      <c r="M204" s="10"/>
    </row>
    <row r="205" spans="2:13" x14ac:dyDescent="0.25">
      <c r="B205" s="747" t="str">
        <f>D$32</f>
        <v>valeur de vente nette rendue (CAD)</v>
      </c>
      <c r="C205" s="748"/>
      <c r="D205" s="748"/>
      <c r="E205" s="137"/>
      <c r="F205" s="137"/>
      <c r="G205" s="137"/>
      <c r="H205" s="137"/>
      <c r="I205" s="137"/>
      <c r="J205" s="137"/>
      <c r="K205" s="137"/>
      <c r="L205" s="138"/>
      <c r="M205" s="10"/>
    </row>
    <row r="206" spans="2:13" x14ac:dyDescent="0.25">
      <c r="B206" s="747" t="str">
        <f>D$33</f>
        <v>$ / tonne</v>
      </c>
      <c r="C206" s="748"/>
      <c r="D206" s="748"/>
      <c r="E206" s="151" t="str">
        <f>IF(E204=0,"-",E205/E204)</f>
        <v>-</v>
      </c>
      <c r="F206" s="151" t="str">
        <f t="shared" ref="F206:L206" si="57">IF(F204=0,"-",F205/F204)</f>
        <v>-</v>
      </c>
      <c r="G206" s="151" t="str">
        <f t="shared" si="57"/>
        <v>-</v>
      </c>
      <c r="H206" s="151" t="str">
        <f t="shared" si="57"/>
        <v>-</v>
      </c>
      <c r="I206" s="151" t="str">
        <f t="shared" si="57"/>
        <v>-</v>
      </c>
      <c r="J206" s="151" t="str">
        <f t="shared" si="57"/>
        <v>-</v>
      </c>
      <c r="K206" s="151" t="str">
        <f t="shared" si="57"/>
        <v>-</v>
      </c>
      <c r="L206" s="152" t="str">
        <f t="shared" si="57"/>
        <v>-</v>
      </c>
      <c r="M206" s="10"/>
    </row>
    <row r="207" spans="2:13" x14ac:dyDescent="0.25">
      <c r="B207" s="768" t="str">
        <f>B136</f>
        <v>Tubage sans soudure T95 (y compris les améliorations) avec raccord semi-supérieure</v>
      </c>
      <c r="C207" s="641"/>
      <c r="D207" s="641"/>
      <c r="E207" s="641"/>
      <c r="F207" s="641"/>
      <c r="G207" s="641"/>
      <c r="H207" s="641"/>
      <c r="I207" s="641"/>
      <c r="J207" s="641"/>
      <c r="K207" s="641"/>
      <c r="L207" s="769"/>
      <c r="M207" s="10"/>
    </row>
    <row r="208" spans="2:13" x14ac:dyDescent="0.25">
      <c r="B208" s="770"/>
      <c r="C208" s="647"/>
      <c r="D208" s="647"/>
      <c r="E208" s="647"/>
      <c r="F208" s="647"/>
      <c r="G208" s="647"/>
      <c r="H208" s="647"/>
      <c r="I208" s="647"/>
      <c r="J208" s="647"/>
      <c r="K208" s="647"/>
      <c r="L208" s="771"/>
      <c r="M208" s="10"/>
    </row>
    <row r="209" spans="2:19" x14ac:dyDescent="0.25">
      <c r="B209" s="747" t="str">
        <f>D$31</f>
        <v>tonnes</v>
      </c>
      <c r="C209" s="748"/>
      <c r="D209" s="748"/>
      <c r="E209" s="137"/>
      <c r="F209" s="137"/>
      <c r="G209" s="137"/>
      <c r="H209" s="137"/>
      <c r="I209" s="137"/>
      <c r="J209" s="137"/>
      <c r="K209" s="137"/>
      <c r="L209" s="138"/>
      <c r="M209" s="10"/>
    </row>
    <row r="210" spans="2:19" x14ac:dyDescent="0.25">
      <c r="B210" s="747" t="str">
        <f>D$32</f>
        <v>valeur de vente nette rendue (CAD)</v>
      </c>
      <c r="C210" s="748"/>
      <c r="D210" s="748"/>
      <c r="E210" s="137"/>
      <c r="F210" s="137"/>
      <c r="G210" s="137"/>
      <c r="H210" s="137"/>
      <c r="I210" s="137"/>
      <c r="J210" s="137"/>
      <c r="K210" s="137"/>
      <c r="L210" s="138"/>
      <c r="M210" s="10"/>
    </row>
    <row r="211" spans="2:19" x14ac:dyDescent="0.25">
      <c r="B211" s="747" t="str">
        <f>D$33</f>
        <v>$ / tonne</v>
      </c>
      <c r="C211" s="748"/>
      <c r="D211" s="748"/>
      <c r="E211" s="151" t="str">
        <f>IF(E209=0,"-",E210/E209)</f>
        <v>-</v>
      </c>
      <c r="F211" s="151" t="str">
        <f t="shared" ref="F211:L211" si="58">IF(F209=0,"-",F210/F209)</f>
        <v>-</v>
      </c>
      <c r="G211" s="151" t="str">
        <f t="shared" si="58"/>
        <v>-</v>
      </c>
      <c r="H211" s="151" t="str">
        <f t="shared" si="58"/>
        <v>-</v>
      </c>
      <c r="I211" s="151" t="str">
        <f t="shared" si="58"/>
        <v>-</v>
      </c>
      <c r="J211" s="151" t="str">
        <f t="shared" si="58"/>
        <v>-</v>
      </c>
      <c r="K211" s="151" t="str">
        <f t="shared" si="58"/>
        <v>-</v>
      </c>
      <c r="L211" s="152" t="str">
        <f t="shared" si="58"/>
        <v>-</v>
      </c>
      <c r="M211" s="10"/>
    </row>
    <row r="212" spans="2:19" x14ac:dyDescent="0.25">
      <c r="B212" s="768" t="str">
        <f>B141</f>
        <v>Tubage sans soudure P110S (y compris les améliorations) ou nuance similaire pour milieux modérément acides avec raccord de qualité semi-supérieure</v>
      </c>
      <c r="C212" s="641"/>
      <c r="D212" s="641"/>
      <c r="E212" s="641"/>
      <c r="F212" s="641"/>
      <c r="G212" s="641"/>
      <c r="H212" s="641"/>
      <c r="I212" s="641"/>
      <c r="J212" s="641"/>
      <c r="K212" s="641"/>
      <c r="L212" s="769"/>
      <c r="M212" s="10"/>
    </row>
    <row r="213" spans="2:19" x14ac:dyDescent="0.25">
      <c r="B213" s="770"/>
      <c r="C213" s="647"/>
      <c r="D213" s="647"/>
      <c r="E213" s="647"/>
      <c r="F213" s="647"/>
      <c r="G213" s="647"/>
      <c r="H213" s="647"/>
      <c r="I213" s="647"/>
      <c r="J213" s="647"/>
      <c r="K213" s="647"/>
      <c r="L213" s="771"/>
      <c r="M213" s="10"/>
    </row>
    <row r="214" spans="2:19" x14ac:dyDescent="0.25">
      <c r="B214" s="747" t="str">
        <f>D$31</f>
        <v>tonnes</v>
      </c>
      <c r="C214" s="748"/>
      <c r="D214" s="748"/>
      <c r="E214" s="137"/>
      <c r="F214" s="137"/>
      <c r="G214" s="137"/>
      <c r="H214" s="137"/>
      <c r="I214" s="137"/>
      <c r="J214" s="137"/>
      <c r="K214" s="137"/>
      <c r="L214" s="138"/>
      <c r="M214" s="10"/>
    </row>
    <row r="215" spans="2:19" x14ac:dyDescent="0.25">
      <c r="B215" s="747" t="str">
        <f>D$32</f>
        <v>valeur de vente nette rendue (CAD)</v>
      </c>
      <c r="C215" s="748"/>
      <c r="D215" s="748"/>
      <c r="E215" s="137"/>
      <c r="F215" s="137"/>
      <c r="G215" s="137"/>
      <c r="H215" s="137"/>
      <c r="I215" s="137"/>
      <c r="J215" s="137"/>
      <c r="K215" s="137"/>
      <c r="L215" s="138"/>
      <c r="M215" s="10"/>
    </row>
    <row r="216" spans="2:19" x14ac:dyDescent="0.25">
      <c r="B216" s="747" t="str">
        <f>D$33</f>
        <v>$ / tonne</v>
      </c>
      <c r="C216" s="748"/>
      <c r="D216" s="748"/>
      <c r="E216" s="151" t="str">
        <f>IF(E214=0,"-",E215/E214)</f>
        <v>-</v>
      </c>
      <c r="F216" s="151" t="str">
        <f t="shared" ref="F216:L216" si="59">IF(F214=0,"-",F215/F214)</f>
        <v>-</v>
      </c>
      <c r="G216" s="151" t="str">
        <f t="shared" si="59"/>
        <v>-</v>
      </c>
      <c r="H216" s="151" t="str">
        <f t="shared" si="59"/>
        <v>-</v>
      </c>
      <c r="I216" s="151" t="str">
        <f t="shared" si="59"/>
        <v>-</v>
      </c>
      <c r="J216" s="151" t="str">
        <f t="shared" si="59"/>
        <v>-</v>
      </c>
      <c r="K216" s="151" t="str">
        <f t="shared" si="59"/>
        <v>-</v>
      </c>
      <c r="L216" s="152" t="str">
        <f t="shared" si="59"/>
        <v>-</v>
      </c>
      <c r="M216" s="10"/>
    </row>
    <row r="217" spans="2:19" x14ac:dyDescent="0.25">
      <c r="B217" s="268"/>
      <c r="C217" s="269"/>
      <c r="D217" s="269"/>
      <c r="E217" s="29"/>
      <c r="F217" s="29"/>
      <c r="G217" s="29"/>
      <c r="H217" s="29"/>
      <c r="I217" s="29"/>
      <c r="J217" s="29"/>
      <c r="K217" s="29"/>
      <c r="L217" s="226"/>
      <c r="M217" s="10"/>
    </row>
    <row r="218" spans="2:19" x14ac:dyDescent="0.25">
      <c r="B218" s="527" t="str">
        <f>IF(Intro!$G$20="English",O218,P218)</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18" s="528"/>
      <c r="D218" s="528"/>
      <c r="E218" s="528"/>
      <c r="F218" s="528"/>
      <c r="G218" s="528"/>
      <c r="H218" s="528"/>
      <c r="I218" s="528"/>
      <c r="J218" s="528"/>
      <c r="K218" s="528"/>
      <c r="L218" s="529"/>
      <c r="M218" s="10"/>
      <c r="O218" s="10" t="s">
        <v>363</v>
      </c>
      <c r="P218" s="10" t="s">
        <v>401</v>
      </c>
      <c r="S218" s="38"/>
    </row>
    <row r="219" spans="2:19" x14ac:dyDescent="0.25">
      <c r="B219" s="527"/>
      <c r="C219" s="528"/>
      <c r="D219" s="528"/>
      <c r="E219" s="528"/>
      <c r="F219" s="528"/>
      <c r="G219" s="528"/>
      <c r="H219" s="528"/>
      <c r="I219" s="528"/>
      <c r="J219" s="528"/>
      <c r="K219" s="528"/>
      <c r="L219" s="529"/>
      <c r="M219" s="10"/>
      <c r="S219" s="38"/>
    </row>
    <row r="220" spans="2:19" x14ac:dyDescent="0.25">
      <c r="B220" s="61"/>
      <c r="C220" s="62"/>
      <c r="D220" s="62"/>
      <c r="E220" s="29"/>
      <c r="F220" s="29"/>
      <c r="G220" s="29"/>
      <c r="H220" s="29"/>
      <c r="I220" s="29"/>
      <c r="J220" s="29"/>
      <c r="K220" s="29"/>
      <c r="L220" s="30"/>
      <c r="M220" s="10"/>
      <c r="S220" s="38"/>
    </row>
    <row r="221" spans="2:19" ht="14.1" customHeight="1" x14ac:dyDescent="0.25">
      <c r="B221" s="760" t="str">
        <f>Variables!D66</f>
        <v>Vérification - volume</v>
      </c>
      <c r="C221" s="761"/>
      <c r="D221" s="761"/>
      <c r="E221" s="761"/>
      <c r="F221" s="762"/>
      <c r="G221" s="176">
        <f>G150</f>
        <v>2024</v>
      </c>
      <c r="H221" s="176">
        <f>H150</f>
        <v>2025</v>
      </c>
      <c r="I221" s="176" t="str">
        <f>I150</f>
        <v>janv.-mars 2025</v>
      </c>
      <c r="J221" s="208" t="str">
        <f>J150</f>
        <v>janv.-mars 2026</v>
      </c>
      <c r="K221" s="225"/>
      <c r="L221" s="226"/>
      <c r="M221" s="10"/>
      <c r="O221" s="18"/>
    </row>
    <row r="222" spans="2:19" ht="14.1" customHeight="1" x14ac:dyDescent="0.25">
      <c r="B222" s="757" t="str">
        <f>B169</f>
        <v>tonnes</v>
      </c>
      <c r="C222" s="758"/>
      <c r="D222" s="758"/>
      <c r="E222" s="758"/>
      <c r="F222" s="759"/>
      <c r="G222" s="187" t="str">
        <f>IF(SUM(E169:G169,E174:G174,E179:G179,E184:G184,E189:G189,E194:G194,E199:G199,E204:G204,E209:G209,E214:G214)&gt;H44,Variables!$D$67,Variables!$D$68)</f>
        <v>Correct</v>
      </c>
      <c r="H222" s="187" t="str">
        <f>IF(SUM(H169:K169,H174:K174,H179:K179,H184:K184,H189:K189,H194:K194,H199:K199,H204:K204,H209:K209,H214:K214)&gt;I44,Variables!$D$67,Variables!$D$68)</f>
        <v>Correct</v>
      </c>
      <c r="I222" s="187" t="str">
        <f>IF(SUM(H169,H174,H179,H184,H189,H194,H199,H204,H209,H214)&gt;J44,Variables!$D$67,Variables!$D$68)</f>
        <v>Correct</v>
      </c>
      <c r="J222" s="187" t="str">
        <f>IF(SUM(L169,L174,L179,L184,L189,L194,L199,L204,L209,L214)&gt;K44,Variables!$D$67,Variables!$D$68)</f>
        <v>Correct</v>
      </c>
      <c r="K222" s="225"/>
      <c r="L222" s="226"/>
      <c r="M222" s="10"/>
    </row>
    <row r="223" spans="2:19" ht="27.75" customHeight="1" x14ac:dyDescent="0.25">
      <c r="B223" s="763" t="str">
        <f>IF(Intro!$G$20="English",O223,P223)</f>
        <v>volume - total des ventes au Canada d'importations des produits de référence (Question 4)</v>
      </c>
      <c r="C223" s="764"/>
      <c r="D223" s="764"/>
      <c r="E223" s="764"/>
      <c r="F223" s="765"/>
      <c r="G223" s="191">
        <f>(SUM(E169:G169,E174:G174,E179:G179,E184:G184,E189:G189,E194:G194,E199:G199,E204:G204,E209:G209,E214:G214))</f>
        <v>0</v>
      </c>
      <c r="H223" s="191">
        <f>SUM(H169:K169,H174:K174,H179:K179,H184:K184,H189:K189,H194:K194,H199:K199,H204:K204,H209:K209,H214:K214)</f>
        <v>0</v>
      </c>
      <c r="I223" s="191">
        <f>SUM(H169,H174,H179,H184,H189,H194,H199,H204,H209,H214)</f>
        <v>0</v>
      </c>
      <c r="J223" s="191">
        <f>SUM(L169,L174,L179,L184,L189,L194,L199,L204,L209,L214)</f>
        <v>0</v>
      </c>
      <c r="K223" s="225"/>
      <c r="L223" s="226"/>
      <c r="M223" s="10"/>
      <c r="O223" s="10" t="s">
        <v>447</v>
      </c>
      <c r="P223" s="10" t="s">
        <v>449</v>
      </c>
    </row>
    <row r="224" spans="2:19" ht="14.1" customHeight="1" x14ac:dyDescent="0.25">
      <c r="B224" s="763" t="str">
        <f>IF(Intro!$G$20="English",O224,P224)</f>
        <v>volume - total des ventes au Canada d'importations (Question 1)</v>
      </c>
      <c r="C224" s="764"/>
      <c r="D224" s="764"/>
      <c r="E224" s="764"/>
      <c r="F224" s="765"/>
      <c r="G224" s="187">
        <f>H44</f>
        <v>0</v>
      </c>
      <c r="H224" s="187">
        <f>I44</f>
        <v>0</v>
      </c>
      <c r="I224" s="187">
        <f>J44</f>
        <v>0</v>
      </c>
      <c r="J224" s="187">
        <f>K44</f>
        <v>0</v>
      </c>
      <c r="K224" s="225"/>
      <c r="L224" s="226"/>
      <c r="M224" s="10"/>
      <c r="O224" s="10" t="s">
        <v>440</v>
      </c>
      <c r="P224" s="10" t="s">
        <v>442</v>
      </c>
    </row>
    <row r="225" spans="1:16" x14ac:dyDescent="0.25">
      <c r="B225" s="760" t="str">
        <f>Variables!D70</f>
        <v>Vérification - valeur</v>
      </c>
      <c r="C225" s="761"/>
      <c r="D225" s="761"/>
      <c r="E225" s="761"/>
      <c r="F225" s="762"/>
      <c r="G225" s="176">
        <f>G221</f>
        <v>2024</v>
      </c>
      <c r="H225" s="176">
        <f t="shared" ref="H225:I225" si="60">H221</f>
        <v>2025</v>
      </c>
      <c r="I225" s="176" t="str">
        <f t="shared" si="60"/>
        <v>janv.-mars 2025</v>
      </c>
      <c r="J225" s="208" t="str">
        <f t="shared" ref="J225" si="61">J221</f>
        <v>janv.-mars 2026</v>
      </c>
      <c r="K225" s="225"/>
      <c r="L225" s="226"/>
      <c r="M225" s="10"/>
    </row>
    <row r="226" spans="1:16" ht="14.1" customHeight="1" x14ac:dyDescent="0.25">
      <c r="B226" s="757" t="str">
        <f>B170</f>
        <v>valeur de vente nette rendue (CAD)</v>
      </c>
      <c r="C226" s="758"/>
      <c r="D226" s="758"/>
      <c r="E226" s="758"/>
      <c r="F226" s="759"/>
      <c r="G226" s="187" t="str">
        <f>IF(SUM(E170:G170,E175:G175,E180:G180,E185:G185,E190:G190,E195:G195,E200:G200,E205:G205,E210:G210,E215:G215)&gt;H45,Variables!$D$67,Variables!$D$68)</f>
        <v>Correct</v>
      </c>
      <c r="H226" s="187" t="str">
        <f>IF(SUM(H170:K170,H175:K175,H180:K180,H185:K185,H190:K190,H195:K195,H200:K200,H205:K205,H210:K210,H215:K215)&gt;I45,Variables!$D$67,Variables!$D$68)</f>
        <v>Correct</v>
      </c>
      <c r="I226" s="187" t="str">
        <f>IF(SUM(H170,H175,H180,H185,H190,H195,H200,H205,H210,H215)&gt;J45,Variables!$D$67,Variables!$D$68)</f>
        <v>Correct</v>
      </c>
      <c r="J226" s="187" t="str">
        <f>IF(SUM(L170,L175,L180,L185,L190,L195,L200,L205,L210,L215)&gt;K45,Variables!$D$67,Variables!$D$68)</f>
        <v>Correct</v>
      </c>
      <c r="K226" s="225"/>
      <c r="L226" s="226"/>
      <c r="M226" s="10"/>
    </row>
    <row r="227" spans="1:16" ht="31.5" customHeight="1" x14ac:dyDescent="0.25">
      <c r="B227" s="763" t="str">
        <f>IF(Intro!$G$20="English",O227,P227)</f>
        <v>valeur - total des ventes au Canada d'importations des produits de référence (Question 4)</v>
      </c>
      <c r="C227" s="764"/>
      <c r="D227" s="764"/>
      <c r="E227" s="764"/>
      <c r="F227" s="765"/>
      <c r="G227" s="191">
        <f>SUM(E170:G170,E175:G175,E180:G180,E185:G185,E190:G190,E195:G195,E200:G200,E205:G205,E210:G210,E215:G215)</f>
        <v>0</v>
      </c>
      <c r="H227" s="191">
        <f>SUM(H170:K170,H175:K175,H180:K180,H185:K185,H190:K190,H195:K195,H200:K200,H205:K205,H210:K210,H215:K215)</f>
        <v>0</v>
      </c>
      <c r="I227" s="191">
        <f>SUM(H170,H175,H180,H185,H190,H195,H200,H205,H210,H215)</f>
        <v>0</v>
      </c>
      <c r="J227" s="191">
        <f>SUM(L170,L175,L180,L185,L190,L195,L200,L205,L210,L215)</f>
        <v>0</v>
      </c>
      <c r="K227" s="225"/>
      <c r="L227" s="226"/>
      <c r="M227" s="10"/>
      <c r="O227" s="10" t="s">
        <v>448</v>
      </c>
      <c r="P227" s="10" t="s">
        <v>450</v>
      </c>
    </row>
    <row r="228" spans="1:16" ht="14.1" customHeight="1" x14ac:dyDescent="0.25">
      <c r="B228" s="763" t="str">
        <f>IF(Intro!$G$20="English",O228,P228)</f>
        <v>valeur - total des ventes au Canada d'importations (Question 1)</v>
      </c>
      <c r="C228" s="764"/>
      <c r="D228" s="764"/>
      <c r="E228" s="764"/>
      <c r="F228" s="765"/>
      <c r="G228" s="187">
        <f>H45</f>
        <v>0</v>
      </c>
      <c r="H228" s="187">
        <f>I45</f>
        <v>0</v>
      </c>
      <c r="I228" s="187">
        <f>J45</f>
        <v>0</v>
      </c>
      <c r="J228" s="187">
        <f>K45</f>
        <v>0</v>
      </c>
      <c r="K228" s="225"/>
      <c r="L228" s="226"/>
      <c r="M228" s="10"/>
      <c r="O228" s="10" t="s">
        <v>446</v>
      </c>
      <c r="P228" s="10" t="s">
        <v>444</v>
      </c>
    </row>
    <row r="229" spans="1:16" x14ac:dyDescent="0.25">
      <c r="B229" s="72"/>
      <c r="C229" s="69"/>
      <c r="D229" s="69"/>
      <c r="E229" s="69"/>
      <c r="F229" s="69"/>
      <c r="G229" s="69"/>
      <c r="H229" s="69"/>
      <c r="I229" s="69"/>
      <c r="J229" s="69"/>
      <c r="K229" s="69"/>
      <c r="L229" s="70"/>
      <c r="M229" s="10"/>
    </row>
    <row r="230" spans="1:16" s="44" customFormat="1" x14ac:dyDescent="0.25">
      <c r="A230" s="92"/>
      <c r="B230" s="4"/>
      <c r="C230" s="4"/>
      <c r="D230" s="77"/>
      <c r="E230" s="77"/>
      <c r="F230" s="77"/>
      <c r="G230" s="77"/>
      <c r="H230" s="77"/>
      <c r="I230" s="77"/>
      <c r="J230" s="77"/>
      <c r="K230" s="77"/>
      <c r="L230" s="77"/>
      <c r="N230" s="78"/>
    </row>
    <row r="231" spans="1:16" x14ac:dyDescent="0.25">
      <c r="B231" s="533" t="str">
        <f>IF(Intro!$G$20="English",O231,P231)</f>
        <v>DONNÉES SUR LES IMPORTATIONS POUR LA PÉRIODE D'ENQUÊTE ANTIDUMPING DE L'ASFC</v>
      </c>
      <c r="C231" s="534"/>
      <c r="D231" s="534"/>
      <c r="E231" s="534"/>
      <c r="F231" s="534"/>
      <c r="G231" s="534"/>
      <c r="H231" s="534"/>
      <c r="I231" s="534"/>
      <c r="J231" s="534"/>
      <c r="K231" s="534"/>
      <c r="L231" s="535"/>
      <c r="M231" s="10"/>
      <c r="O231" s="105" t="s">
        <v>337</v>
      </c>
      <c r="P231" s="105" t="s">
        <v>338</v>
      </c>
    </row>
    <row r="232" spans="1:16" s="11" customFormat="1" x14ac:dyDescent="0.25">
      <c r="A232" s="7"/>
      <c r="B232" s="671" t="s">
        <v>18</v>
      </c>
      <c r="C232" s="672"/>
      <c r="D232" s="672"/>
      <c r="E232" s="672"/>
      <c r="F232" s="672"/>
      <c r="G232" s="672"/>
      <c r="H232" s="672"/>
      <c r="I232" s="672"/>
      <c r="J232" s="672"/>
      <c r="K232" s="672"/>
      <c r="L232" s="673"/>
      <c r="M232" s="73"/>
      <c r="O232" s="10"/>
    </row>
    <row r="233" spans="1:16" x14ac:dyDescent="0.25">
      <c r="B233" s="16"/>
      <c r="C233" s="35"/>
      <c r="D233" s="35"/>
      <c r="E233" s="36"/>
      <c r="F233" s="36"/>
      <c r="G233" s="36"/>
      <c r="H233" s="36"/>
      <c r="I233" s="36"/>
      <c r="J233" s="36"/>
      <c r="K233" s="36"/>
      <c r="L233" s="17"/>
      <c r="M233" s="10"/>
    </row>
    <row r="234" spans="1:16" x14ac:dyDescent="0.25">
      <c r="B234" s="530" t="str">
        <f>IF(Intro!$G$20="English",O234,P234)</f>
        <v>Indiquez le volume et la valeur des importations pendant la période d'enquête de dumping de l'ASFC :</v>
      </c>
      <c r="C234" s="531"/>
      <c r="D234" s="531"/>
      <c r="E234" s="531"/>
      <c r="F234" s="531"/>
      <c r="G234" s="531"/>
      <c r="H234" s="531"/>
      <c r="I234" s="531"/>
      <c r="J234" s="531"/>
      <c r="K234" s="531"/>
      <c r="L234" s="532"/>
      <c r="M234" s="10"/>
      <c r="O234" s="18" t="s">
        <v>199</v>
      </c>
      <c r="P234" s="10" t="s">
        <v>200</v>
      </c>
    </row>
    <row r="235" spans="1:16" x14ac:dyDescent="0.25">
      <c r="B235" s="61"/>
      <c r="C235" s="62"/>
      <c r="D235" s="35"/>
      <c r="E235" s="36"/>
      <c r="F235" s="36"/>
      <c r="G235" s="36"/>
      <c r="H235" s="36"/>
      <c r="I235" s="36"/>
      <c r="J235" s="36"/>
      <c r="K235" s="36"/>
      <c r="L235" s="17"/>
      <c r="M235" s="10"/>
      <c r="O235" s="18"/>
    </row>
    <row r="236" spans="1:16" ht="31.5" customHeight="1" x14ac:dyDescent="0.25">
      <c r="B236" s="48"/>
      <c r="C236" s="45"/>
      <c r="D236" s="35"/>
      <c r="E236" s="10"/>
      <c r="F236" s="775" t="str">
        <f>IF(Intro!$G$20="English",Variables!B41,Variables!C41)</f>
        <v>1er décembre 2024 - 30 novembre 2025</v>
      </c>
      <c r="G236" s="776"/>
      <c r="H236" s="225"/>
      <c r="I236" s="225"/>
      <c r="J236" s="225"/>
      <c r="K236" s="225"/>
      <c r="L236" s="71"/>
      <c r="M236" s="10"/>
      <c r="O236" s="47"/>
      <c r="P236" s="47"/>
    </row>
    <row r="237" spans="1:16" x14ac:dyDescent="0.25">
      <c r="B237" s="567" t="str">
        <f>IF(Intro!$G$20="English",O237,P237)</f>
        <v>Importations</v>
      </c>
      <c r="C237" s="748" t="str">
        <f>D26</f>
        <v>tonnes</v>
      </c>
      <c r="D237" s="748"/>
      <c r="E237" s="748"/>
      <c r="F237" s="777"/>
      <c r="G237" s="778"/>
      <c r="H237" s="225"/>
      <c r="I237" s="225"/>
      <c r="J237" s="225"/>
      <c r="K237" s="225"/>
      <c r="L237" s="71"/>
      <c r="M237" s="10"/>
      <c r="O237" s="10" t="s">
        <v>91</v>
      </c>
      <c r="P237" s="10" t="s">
        <v>170</v>
      </c>
    </row>
    <row r="238" spans="1:16" x14ac:dyDescent="0.25">
      <c r="B238" s="567"/>
      <c r="C238" s="748" t="str">
        <f>D27</f>
        <v>valeur d'achat nette rendue (CAD)</v>
      </c>
      <c r="D238" s="748"/>
      <c r="E238" s="748"/>
      <c r="F238" s="777"/>
      <c r="G238" s="778"/>
      <c r="H238" s="225"/>
      <c r="I238" s="225"/>
      <c r="J238" s="225"/>
      <c r="K238" s="225"/>
      <c r="L238" s="71"/>
      <c r="M238" s="10"/>
    </row>
    <row r="239" spans="1:16" x14ac:dyDescent="0.25">
      <c r="B239" s="567"/>
      <c r="C239" s="748" t="str">
        <f>D28</f>
        <v>$ / tonne</v>
      </c>
      <c r="D239" s="748"/>
      <c r="E239" s="748"/>
      <c r="F239" s="779" t="str">
        <f>IF(F237=0,"-",F238/F237)</f>
        <v>-</v>
      </c>
      <c r="G239" s="780"/>
      <c r="H239" s="88"/>
      <c r="I239" s="88"/>
      <c r="J239" s="88"/>
      <c r="K239" s="88"/>
      <c r="L239" s="71"/>
      <c r="M239" s="10"/>
    </row>
    <row r="240" spans="1:16" x14ac:dyDescent="0.25">
      <c r="B240" s="46"/>
      <c r="C240" s="64"/>
      <c r="D240" s="64"/>
      <c r="E240" s="34"/>
      <c r="F240" s="34"/>
      <c r="G240" s="34"/>
      <c r="H240" s="34"/>
      <c r="I240" s="34"/>
      <c r="J240" s="34"/>
      <c r="K240" s="34"/>
      <c r="L240" s="37"/>
      <c r="M240" s="10"/>
    </row>
    <row r="241" spans="1:19" s="44" customFormat="1" x14ac:dyDescent="0.25">
      <c r="A241" s="92"/>
      <c r="B241" s="4"/>
      <c r="C241" s="4"/>
      <c r="D241" s="77"/>
      <c r="E241" s="77"/>
      <c r="F241" s="77"/>
      <c r="G241" s="77"/>
      <c r="H241" s="77"/>
      <c r="I241" s="77"/>
      <c r="J241" s="77"/>
      <c r="K241" s="77"/>
      <c r="L241" s="77"/>
      <c r="N241" s="78"/>
    </row>
    <row r="242" spans="1:19" x14ac:dyDescent="0.25">
      <c r="B242" s="533" t="str">
        <f>UPPER(IF(Intro!$G$20="English",O242,P242))</f>
        <v>DONNÉES SUR LES IMPORTATIONS POUR L'ANALYSE DES IMPORTATIONS MASSIVES</v>
      </c>
      <c r="C242" s="534"/>
      <c r="D242" s="534"/>
      <c r="E242" s="534"/>
      <c r="F242" s="534"/>
      <c r="G242" s="534"/>
      <c r="H242" s="534"/>
      <c r="I242" s="534"/>
      <c r="J242" s="534"/>
      <c r="K242" s="534"/>
      <c r="L242" s="535"/>
      <c r="M242" s="10"/>
      <c r="O242" s="105" t="s">
        <v>339</v>
      </c>
      <c r="P242" s="105" t="s">
        <v>402</v>
      </c>
    </row>
    <row r="243" spans="1:19" s="11" customFormat="1" x14ac:dyDescent="0.25">
      <c r="A243" s="7"/>
      <c r="B243" s="671" t="s">
        <v>19</v>
      </c>
      <c r="C243" s="672"/>
      <c r="D243" s="672"/>
      <c r="E243" s="672"/>
      <c r="F243" s="672"/>
      <c r="G243" s="672"/>
      <c r="H243" s="672"/>
      <c r="I243" s="672"/>
      <c r="J243" s="672"/>
      <c r="K243" s="672"/>
      <c r="L243" s="673"/>
      <c r="M243" s="73"/>
      <c r="O243" s="10"/>
    </row>
    <row r="244" spans="1:19" x14ac:dyDescent="0.25">
      <c r="B244" s="16"/>
      <c r="C244" s="35"/>
      <c r="D244" s="35"/>
      <c r="E244" s="36"/>
      <c r="F244" s="36"/>
      <c r="G244" s="36"/>
      <c r="H244" s="36"/>
      <c r="I244" s="36"/>
      <c r="J244" s="36"/>
      <c r="K244" s="36"/>
      <c r="L244" s="17"/>
      <c r="M244" s="10"/>
    </row>
    <row r="245" spans="1:19" x14ac:dyDescent="0.25">
      <c r="B245" s="530" t="str">
        <f>IF(Intro!$G$20="English",O245,P245)</f>
        <v>Indiquez le volume des importations et le stock de clôture au Canada des marchandises provenant de l'exportateur décrit ci-dessus :</v>
      </c>
      <c r="C245" s="531"/>
      <c r="D245" s="531"/>
      <c r="E245" s="531"/>
      <c r="F245" s="531"/>
      <c r="G245" s="531"/>
      <c r="H245" s="531"/>
      <c r="I245" s="531"/>
      <c r="J245" s="531"/>
      <c r="K245" s="531"/>
      <c r="L245" s="532"/>
      <c r="M245" s="10"/>
      <c r="O245" s="18" t="s">
        <v>194</v>
      </c>
      <c r="P245" s="10" t="s">
        <v>404</v>
      </c>
    </row>
    <row r="246" spans="1:19" x14ac:dyDescent="0.25">
      <c r="B246" s="61"/>
      <c r="C246" s="62"/>
      <c r="D246" s="35"/>
      <c r="E246" s="36"/>
      <c r="F246" s="36"/>
      <c r="G246" s="36"/>
      <c r="H246" s="36"/>
      <c r="I246" s="36"/>
      <c r="J246" s="36"/>
      <c r="K246" s="36"/>
      <c r="L246" s="17"/>
      <c r="M246" s="10"/>
      <c r="O246" s="18"/>
    </row>
    <row r="247" spans="1:19" x14ac:dyDescent="0.25">
      <c r="B247" s="61"/>
      <c r="C247" s="62"/>
      <c r="D247" s="35"/>
      <c r="E247" s="178" t="str">
        <f>IF(Intro!$G$20="English",Variables!B83,Variables!C83)</f>
        <v>T2 2024</v>
      </c>
      <c r="F247" s="227" t="str">
        <f>IF(Intro!$G$20="English",Variables!B84,Variables!C84)</f>
        <v>T3 2024</v>
      </c>
      <c r="G247" s="227" t="str">
        <f>IF(Intro!$G$20="English",Variables!B74,Variables!C74)</f>
        <v>T4 2024</v>
      </c>
      <c r="H247" s="227" t="str">
        <f>IF(Intro!$G$20="English",Variables!B75,Variables!C75)</f>
        <v>T1 2025</v>
      </c>
      <c r="I247" s="227" t="str">
        <f>IF(Intro!$G$20="English",Variables!B76,Variables!C76)</f>
        <v>T2 2025</v>
      </c>
      <c r="J247" s="227" t="str">
        <f>IF(Intro!$G$20="English",Variables!B77,Variables!C77)</f>
        <v>T3 2025</v>
      </c>
      <c r="K247" s="266" t="str">
        <f>IF(Intro!$G$20="English",Variables!B78,Variables!C78)</f>
        <v>T4 2025</v>
      </c>
      <c r="L247" s="266" t="str">
        <f>IF(Intro!$G$20="English",Variables!B79,Variables!C79)</f>
        <v>T1 2026</v>
      </c>
      <c r="M247" s="10"/>
      <c r="O247" s="18"/>
    </row>
    <row r="248" spans="1:19" x14ac:dyDescent="0.25">
      <c r="B248" s="745" t="str">
        <f>B237</f>
        <v>Importations</v>
      </c>
      <c r="C248" s="746"/>
      <c r="D248" s="124" t="str">
        <f>C237</f>
        <v>tonnes</v>
      </c>
      <c r="E248" s="181"/>
      <c r="F248" s="181"/>
      <c r="G248" s="181"/>
      <c r="H248" s="181"/>
      <c r="I248" s="181"/>
      <c r="J248" s="181"/>
      <c r="K248" s="181"/>
      <c r="L248" s="181"/>
      <c r="M248" s="10"/>
    </row>
    <row r="249" spans="1:19" x14ac:dyDescent="0.25">
      <c r="B249" s="745" t="str">
        <f>IF(Intro!$G$20="English",O249,P249)</f>
        <v>Stock de clôture</v>
      </c>
      <c r="C249" s="746"/>
      <c r="D249" s="124" t="str">
        <f>C237</f>
        <v>tonnes</v>
      </c>
      <c r="E249" s="181"/>
      <c r="F249" s="181"/>
      <c r="G249" s="181"/>
      <c r="H249" s="181"/>
      <c r="I249" s="181"/>
      <c r="J249" s="181"/>
      <c r="K249" s="181"/>
      <c r="L249" s="181"/>
      <c r="M249" s="10"/>
      <c r="O249" s="10" t="s">
        <v>195</v>
      </c>
      <c r="P249" s="10" t="s">
        <v>403</v>
      </c>
    </row>
    <row r="250" spans="1:19" x14ac:dyDescent="0.25">
      <c r="B250" s="174"/>
      <c r="C250" s="175"/>
      <c r="D250" s="175"/>
      <c r="E250" s="29"/>
      <c r="F250" s="29"/>
      <c r="G250" s="29"/>
      <c r="H250" s="29"/>
      <c r="I250" s="29"/>
      <c r="J250" s="29"/>
      <c r="K250" s="29"/>
      <c r="L250" s="30"/>
      <c r="M250" s="10"/>
    </row>
    <row r="251" spans="1:19" x14ac:dyDescent="0.25">
      <c r="B251" s="527" t="str">
        <f>IF(Intro!$G$20="English",O251,P251)</f>
        <v>Dans le tableau ci-dessous, « Erreur » signifie que la somme des importations trimestrielles déclarées ci-dessus dépasse les importations annuelles déclarées à la question 1. Par conséquent, veuillez modifier les données si nécessaire.</v>
      </c>
      <c r="C251" s="528"/>
      <c r="D251" s="528"/>
      <c r="E251" s="528"/>
      <c r="F251" s="528"/>
      <c r="G251" s="528"/>
      <c r="H251" s="528"/>
      <c r="I251" s="528"/>
      <c r="J251" s="528"/>
      <c r="K251" s="528"/>
      <c r="L251" s="529"/>
      <c r="M251" s="10"/>
      <c r="O251" s="10" t="s">
        <v>457</v>
      </c>
      <c r="P251" s="10" t="s">
        <v>458</v>
      </c>
      <c r="S251" s="38"/>
    </row>
    <row r="252" spans="1:19" x14ac:dyDescent="0.25">
      <c r="B252" s="527"/>
      <c r="C252" s="528"/>
      <c r="D252" s="528"/>
      <c r="E252" s="528"/>
      <c r="F252" s="528"/>
      <c r="G252" s="528"/>
      <c r="H252" s="528"/>
      <c r="I252" s="528"/>
      <c r="J252" s="528"/>
      <c r="K252" s="528"/>
      <c r="L252" s="529"/>
      <c r="M252" s="10"/>
      <c r="S252" s="38"/>
    </row>
    <row r="253" spans="1:19" x14ac:dyDescent="0.25">
      <c r="B253" s="171"/>
      <c r="C253" s="172"/>
      <c r="D253" s="172"/>
      <c r="E253" s="172"/>
      <c r="F253" s="172"/>
      <c r="G253" s="172"/>
      <c r="H253" s="172"/>
      <c r="I253" s="172"/>
      <c r="J253" s="172"/>
      <c r="K253" s="172"/>
      <c r="L253" s="173"/>
      <c r="M253" s="10"/>
      <c r="S253" s="38"/>
    </row>
    <row r="254" spans="1:19" x14ac:dyDescent="0.25">
      <c r="B254" s="192"/>
      <c r="C254" s="179"/>
      <c r="D254" s="194"/>
      <c r="E254" s="45"/>
      <c r="F254" s="176">
        <f>G254-1</f>
        <v>2025</v>
      </c>
      <c r="G254" s="176">
        <f>Variables!B8</f>
        <v>2026</v>
      </c>
      <c r="H254" s="193"/>
      <c r="I254" s="225"/>
      <c r="J254" s="225"/>
      <c r="K254" s="225"/>
      <c r="L254" s="160"/>
      <c r="M254" s="10"/>
      <c r="O254" s="18"/>
    </row>
    <row r="255" spans="1:19" ht="14.45" customHeight="1" x14ac:dyDescent="0.25">
      <c r="B255" s="192"/>
      <c r="C255" s="199"/>
      <c r="D255" s="781" t="str">
        <f>B221</f>
        <v>Vérification - volume</v>
      </c>
      <c r="E255" s="782"/>
      <c r="F255" s="187" t="str">
        <f>IF(SUM(H248+I248+J248+K248)&gt;I26,Variables!$D$67,Variables!$D$68)</f>
        <v>Correct</v>
      </c>
      <c r="G255" s="187" t="str">
        <f>IF(SUM(L248)&gt;K26,Variables!$D$67,Variables!$D$68)</f>
        <v>Correct</v>
      </c>
      <c r="H255" s="193"/>
      <c r="I255" s="225"/>
      <c r="J255" s="225"/>
      <c r="K255" s="225"/>
      <c r="L255" s="160"/>
      <c r="M255" s="10"/>
    </row>
    <row r="256" spans="1:19" s="44" customFormat="1" x14ac:dyDescent="0.25">
      <c r="A256" s="92"/>
      <c r="B256" s="195"/>
      <c r="C256" s="196"/>
      <c r="D256" s="197"/>
      <c r="E256" s="197"/>
      <c r="F256" s="197"/>
      <c r="G256" s="197"/>
      <c r="H256" s="197"/>
      <c r="I256" s="197"/>
      <c r="J256" s="197"/>
      <c r="K256" s="197"/>
      <c r="L256" s="198"/>
      <c r="N256" s="78"/>
    </row>
    <row r="257" spans="1:18" s="11" customFormat="1" x14ac:dyDescent="0.25">
      <c r="A257" s="7"/>
      <c r="B257" s="21" t="s">
        <v>20</v>
      </c>
      <c r="C257" s="22"/>
      <c r="D257" s="22"/>
      <c r="E257" s="23"/>
      <c r="F257" s="23"/>
      <c r="G257" s="23"/>
      <c r="H257" s="23"/>
      <c r="I257" s="23"/>
      <c r="J257" s="23"/>
      <c r="K257" s="23"/>
      <c r="L257" s="24"/>
      <c r="M257" s="73"/>
    </row>
    <row r="258" spans="1:18" s="38" customFormat="1" x14ac:dyDescent="0.25">
      <c r="A258" s="49"/>
      <c r="B258" s="53"/>
      <c r="C258" s="93"/>
      <c r="D258" s="93"/>
      <c r="E258" s="93"/>
      <c r="F258" s="93"/>
      <c r="G258" s="93"/>
      <c r="H258" s="93"/>
      <c r="I258" s="93"/>
      <c r="J258" s="93"/>
      <c r="K258" s="93"/>
      <c r="L258" s="54"/>
      <c r="O258" s="10"/>
      <c r="P258" s="10"/>
      <c r="Q258" s="10"/>
      <c r="R258" s="10"/>
    </row>
    <row r="259" spans="1:18" s="38" customFormat="1" x14ac:dyDescent="0.25">
      <c r="A259" s="49"/>
      <c r="B259" s="527" t="str">
        <f>IF(Intro!$G$20="English",O259,P259)</f>
        <v>Décrivez tous les facteurs (par exemple, les retards d’expédition, la saisonnalité, etc.) qui pourraient expliquer la tendance générale des volumes d’importation trimestriels et des stocks finals de votre entreprise, comme indiqué dans la question 6.</v>
      </c>
      <c r="C259" s="528"/>
      <c r="D259" s="528"/>
      <c r="E259" s="528"/>
      <c r="F259" s="528"/>
      <c r="G259" s="528"/>
      <c r="H259" s="528"/>
      <c r="I259" s="528"/>
      <c r="J259" s="528"/>
      <c r="K259" s="528"/>
      <c r="L259" s="529"/>
      <c r="O259" s="10" t="s">
        <v>375</v>
      </c>
      <c r="P259" s="10" t="s">
        <v>376</v>
      </c>
      <c r="Q259" s="10"/>
      <c r="R259" s="10"/>
    </row>
    <row r="260" spans="1:18" s="38" customFormat="1" x14ac:dyDescent="0.25">
      <c r="A260" s="49"/>
      <c r="B260" s="527"/>
      <c r="C260" s="528"/>
      <c r="D260" s="528"/>
      <c r="E260" s="528"/>
      <c r="F260" s="528"/>
      <c r="G260" s="528"/>
      <c r="H260" s="528"/>
      <c r="I260" s="528"/>
      <c r="J260" s="528"/>
      <c r="K260" s="528"/>
      <c r="L260" s="529"/>
      <c r="O260" s="10"/>
      <c r="P260" s="10"/>
      <c r="Q260" s="10"/>
      <c r="R260" s="10"/>
    </row>
    <row r="261" spans="1:18" s="38" customFormat="1" x14ac:dyDescent="0.25">
      <c r="A261" s="49"/>
      <c r="B261" s="53"/>
      <c r="C261" s="93"/>
      <c r="D261" s="93"/>
      <c r="E261" s="93"/>
      <c r="F261" s="93"/>
      <c r="G261" s="93"/>
      <c r="H261" s="93"/>
      <c r="I261" s="93"/>
      <c r="J261" s="93"/>
      <c r="K261" s="93"/>
      <c r="L261" s="54"/>
      <c r="O261" s="10"/>
      <c r="P261" s="10"/>
      <c r="Q261" s="10"/>
      <c r="R261" s="10"/>
    </row>
    <row r="262" spans="1:18" s="11" customFormat="1" x14ac:dyDescent="0.25">
      <c r="A262" s="8"/>
      <c r="B262" s="663"/>
      <c r="C262" s="664"/>
      <c r="D262" s="664"/>
      <c r="E262" s="664"/>
      <c r="F262" s="664"/>
      <c r="G262" s="664"/>
      <c r="H262" s="664"/>
      <c r="I262" s="664"/>
      <c r="J262" s="664"/>
      <c r="K262" s="664"/>
      <c r="L262" s="665"/>
      <c r="M262" s="38"/>
    </row>
    <row r="263" spans="1:18" s="11" customFormat="1" x14ac:dyDescent="0.25">
      <c r="A263" s="8"/>
      <c r="B263" s="663"/>
      <c r="C263" s="664"/>
      <c r="D263" s="664"/>
      <c r="E263" s="664"/>
      <c r="F263" s="664"/>
      <c r="G263" s="664"/>
      <c r="H263" s="664"/>
      <c r="I263" s="664"/>
      <c r="J263" s="664"/>
      <c r="K263" s="664"/>
      <c r="L263" s="665"/>
      <c r="M263" s="38"/>
    </row>
    <row r="264" spans="1:18" s="11" customFormat="1" x14ac:dyDescent="0.25">
      <c r="A264" s="8"/>
      <c r="B264" s="663"/>
      <c r="C264" s="664"/>
      <c r="D264" s="664"/>
      <c r="E264" s="664"/>
      <c r="F264" s="664"/>
      <c r="G264" s="664"/>
      <c r="H264" s="664"/>
      <c r="I264" s="664"/>
      <c r="J264" s="664"/>
      <c r="K264" s="664"/>
      <c r="L264" s="665"/>
      <c r="M264" s="38"/>
    </row>
    <row r="265" spans="1:18" s="11" customFormat="1" x14ac:dyDescent="0.25">
      <c r="A265" s="8"/>
      <c r="B265" s="663"/>
      <c r="C265" s="664"/>
      <c r="D265" s="664"/>
      <c r="E265" s="664"/>
      <c r="F265" s="664"/>
      <c r="G265" s="664"/>
      <c r="H265" s="664"/>
      <c r="I265" s="664"/>
      <c r="J265" s="664"/>
      <c r="K265" s="664"/>
      <c r="L265" s="665"/>
      <c r="M265" s="38"/>
    </row>
    <row r="266" spans="1:18" s="11" customFormat="1" x14ac:dyDescent="0.25">
      <c r="A266" s="8"/>
      <c r="B266" s="663"/>
      <c r="C266" s="664"/>
      <c r="D266" s="664"/>
      <c r="E266" s="664"/>
      <c r="F266" s="664"/>
      <c r="G266" s="664"/>
      <c r="H266" s="664"/>
      <c r="I266" s="664"/>
      <c r="J266" s="664"/>
      <c r="K266" s="664"/>
      <c r="L266" s="665"/>
      <c r="M266" s="38"/>
    </row>
    <row r="267" spans="1:18" s="11" customFormat="1" x14ac:dyDescent="0.25">
      <c r="A267" s="8"/>
      <c r="B267" s="663"/>
      <c r="C267" s="664"/>
      <c r="D267" s="664"/>
      <c r="E267" s="664"/>
      <c r="F267" s="664"/>
      <c r="G267" s="664"/>
      <c r="H267" s="664"/>
      <c r="I267" s="664"/>
      <c r="J267" s="664"/>
      <c r="K267" s="664"/>
      <c r="L267" s="665"/>
      <c r="M267" s="38"/>
    </row>
    <row r="268" spans="1:18" s="11" customFormat="1" x14ac:dyDescent="0.25">
      <c r="A268" s="8"/>
      <c r="B268" s="663"/>
      <c r="C268" s="664"/>
      <c r="D268" s="664"/>
      <c r="E268" s="664"/>
      <c r="F268" s="664"/>
      <c r="G268" s="664"/>
      <c r="H268" s="664"/>
      <c r="I268" s="664"/>
      <c r="J268" s="664"/>
      <c r="K268" s="664"/>
      <c r="L268" s="665"/>
      <c r="M268" s="38"/>
    </row>
    <row r="269" spans="1:18" s="11" customFormat="1" x14ac:dyDescent="0.25">
      <c r="A269" s="8"/>
      <c r="B269" s="663"/>
      <c r="C269" s="664"/>
      <c r="D269" s="664"/>
      <c r="E269" s="664"/>
      <c r="F269" s="664"/>
      <c r="G269" s="664"/>
      <c r="H269" s="664"/>
      <c r="I269" s="664"/>
      <c r="J269" s="664"/>
      <c r="K269" s="664"/>
      <c r="L269" s="665"/>
      <c r="M269" s="38"/>
    </row>
    <row r="270" spans="1:18" s="38" customFormat="1" x14ac:dyDescent="0.25">
      <c r="A270" s="49"/>
      <c r="B270" s="50"/>
      <c r="C270" s="51"/>
      <c r="D270" s="51"/>
      <c r="E270" s="51"/>
      <c r="F270" s="51"/>
      <c r="G270" s="51"/>
      <c r="H270" s="51"/>
      <c r="I270" s="51"/>
      <c r="J270" s="51"/>
      <c r="K270" s="51"/>
      <c r="L270" s="52"/>
      <c r="O270" s="10"/>
      <c r="P270" s="10"/>
      <c r="Q270" s="10"/>
      <c r="R270" s="10"/>
    </row>
  </sheetData>
  <sheetProtection algorithmName="SHA-512" hashValue="bcZB2lPfFf1+nwYyvQrOd2ER0UMuARmtl7k8s0tVLwPj3HDtMedDj73HWewiF81gPbX8fETiH+XWfcCn/i8MKw==" saltValue="+uEBkyiX+InikXxbo+AAeA==" spinCount="100000" sheet="1" objects="1" scenarios="1" selectLockedCells="1"/>
  <mergeCells count="207">
    <mergeCell ref="B136:L137"/>
    <mergeCell ref="B138:D138"/>
    <mergeCell ref="B139:D139"/>
    <mergeCell ref="B140:D140"/>
    <mergeCell ref="B141:L142"/>
    <mergeCell ref="B143:D143"/>
    <mergeCell ref="B144:D144"/>
    <mergeCell ref="B145:D145"/>
    <mergeCell ref="B202:L203"/>
    <mergeCell ref="B181:D181"/>
    <mergeCell ref="B160:L160"/>
    <mergeCell ref="B30:K30"/>
    <mergeCell ref="B37:K37"/>
    <mergeCell ref="B38:C40"/>
    <mergeCell ref="D38:F38"/>
    <mergeCell ref="D39:F39"/>
    <mergeCell ref="D40:F40"/>
    <mergeCell ref="B41:C43"/>
    <mergeCell ref="D41:F41"/>
    <mergeCell ref="D42:F42"/>
    <mergeCell ref="D43:F43"/>
    <mergeCell ref="B259:L260"/>
    <mergeCell ref="B113:D113"/>
    <mergeCell ref="B114:D114"/>
    <mergeCell ref="B115:D115"/>
    <mergeCell ref="B90:L90"/>
    <mergeCell ref="B125:D125"/>
    <mergeCell ref="B128:D128"/>
    <mergeCell ref="B129:D129"/>
    <mergeCell ref="B130:D130"/>
    <mergeCell ref="B133:D133"/>
    <mergeCell ref="B134:D134"/>
    <mergeCell ref="B135:D135"/>
    <mergeCell ref="B231:L231"/>
    <mergeCell ref="B251:L252"/>
    <mergeCell ref="B221:F221"/>
    <mergeCell ref="B222:F222"/>
    <mergeCell ref="B223:F223"/>
    <mergeCell ref="B224:F224"/>
    <mergeCell ref="B225:F225"/>
    <mergeCell ref="B226:F226"/>
    <mergeCell ref="B150:F150"/>
    <mergeCell ref="B151:F151"/>
    <mergeCell ref="B108:D108"/>
    <mergeCell ref="B109:D109"/>
    <mergeCell ref="B110:D110"/>
    <mergeCell ref="B18:L18"/>
    <mergeCell ref="D255:E255"/>
    <mergeCell ref="B19:L19"/>
    <mergeCell ref="B50:L50"/>
    <mergeCell ref="B91:L91"/>
    <mergeCell ref="B161:L161"/>
    <mergeCell ref="B232:L232"/>
    <mergeCell ref="B243:L243"/>
    <mergeCell ref="B67:D67"/>
    <mergeCell ref="B71:D71"/>
    <mergeCell ref="B49:L49"/>
    <mergeCell ref="B85:F85"/>
    <mergeCell ref="B86:F86"/>
    <mergeCell ref="B87:F87"/>
    <mergeCell ref="B152:F152"/>
    <mergeCell ref="B153:F153"/>
    <mergeCell ref="B154:F154"/>
    <mergeCell ref="B120:D120"/>
    <mergeCell ref="B123:D123"/>
    <mergeCell ref="B155:F155"/>
    <mergeCell ref="B194:D194"/>
    <mergeCell ref="B118:D118"/>
    <mergeCell ref="B119:D119"/>
    <mergeCell ref="B65:D65"/>
    <mergeCell ref="B60:L60"/>
    <mergeCell ref="B64:L64"/>
    <mergeCell ref="B68:L68"/>
    <mergeCell ref="B262:L269"/>
    <mergeCell ref="F236:G236"/>
    <mergeCell ref="B179:D179"/>
    <mergeCell ref="B180:D180"/>
    <mergeCell ref="B124:D124"/>
    <mergeCell ref="B249:C249"/>
    <mergeCell ref="F238:G238"/>
    <mergeCell ref="F239:G239"/>
    <mergeCell ref="C238:E238"/>
    <mergeCell ref="C239:E239"/>
    <mergeCell ref="B163:L163"/>
    <mergeCell ref="F237:G237"/>
    <mergeCell ref="C237:E237"/>
    <mergeCell ref="B184:D184"/>
    <mergeCell ref="B185:D185"/>
    <mergeCell ref="B195:D195"/>
    <mergeCell ref="B199:D199"/>
    <mergeCell ref="B182:L183"/>
    <mergeCell ref="B192:L193"/>
    <mergeCell ref="B197:L198"/>
    <mergeCell ref="B12:L12"/>
    <mergeCell ref="B147:L148"/>
    <mergeCell ref="B218:L219"/>
    <mergeCell ref="B77:L78"/>
    <mergeCell ref="B96:L97"/>
    <mergeCell ref="B101:L102"/>
    <mergeCell ref="B106:L107"/>
    <mergeCell ref="B111:L112"/>
    <mergeCell ref="B116:L117"/>
    <mergeCell ref="B121:L122"/>
    <mergeCell ref="B126:L127"/>
    <mergeCell ref="B131:L132"/>
    <mergeCell ref="B167:L168"/>
    <mergeCell ref="B172:L173"/>
    <mergeCell ref="B177:L178"/>
    <mergeCell ref="B55:D55"/>
    <mergeCell ref="B95:D95"/>
    <mergeCell ref="B166:D166"/>
    <mergeCell ref="B169:D169"/>
    <mergeCell ref="B170:D170"/>
    <mergeCell ref="B171:D171"/>
    <mergeCell ref="B174:D174"/>
    <mergeCell ref="B175:D175"/>
    <mergeCell ref="B176:D176"/>
    <mergeCell ref="B4:L4"/>
    <mergeCell ref="B5:L5"/>
    <mergeCell ref="B6:L6"/>
    <mergeCell ref="B98:D98"/>
    <mergeCell ref="B99:D99"/>
    <mergeCell ref="B100:D100"/>
    <mergeCell ref="B103:D103"/>
    <mergeCell ref="B104:D104"/>
    <mergeCell ref="B105:D105"/>
    <mergeCell ref="B73:D73"/>
    <mergeCell ref="B75:D75"/>
    <mergeCell ref="B62:D62"/>
    <mergeCell ref="B66:D66"/>
    <mergeCell ref="B70:D70"/>
    <mergeCell ref="B74:D74"/>
    <mergeCell ref="B72:L72"/>
    <mergeCell ref="B57:D57"/>
    <mergeCell ref="B59:D59"/>
    <mergeCell ref="B61:D61"/>
    <mergeCell ref="B58:D58"/>
    <mergeCell ref="B69:D69"/>
    <mergeCell ref="B63:D63"/>
    <mergeCell ref="D35:F35"/>
    <mergeCell ref="B13:L13"/>
    <mergeCell ref="B234:L234"/>
    <mergeCell ref="B242:L242"/>
    <mergeCell ref="B200:D200"/>
    <mergeCell ref="B201:D201"/>
    <mergeCell ref="B237:B239"/>
    <mergeCell ref="B227:F227"/>
    <mergeCell ref="B228:F228"/>
    <mergeCell ref="B204:D204"/>
    <mergeCell ref="B205:D205"/>
    <mergeCell ref="B206:D206"/>
    <mergeCell ref="B207:L208"/>
    <mergeCell ref="B209:D209"/>
    <mergeCell ref="B210:D210"/>
    <mergeCell ref="B211:D211"/>
    <mergeCell ref="B212:L213"/>
    <mergeCell ref="B214:D214"/>
    <mergeCell ref="B215:D215"/>
    <mergeCell ref="B216:D216"/>
    <mergeCell ref="B245:L245"/>
    <mergeCell ref="B164:L164"/>
    <mergeCell ref="B248:C248"/>
    <mergeCell ref="B191:D191"/>
    <mergeCell ref="B93:L93"/>
    <mergeCell ref="B52:L52"/>
    <mergeCell ref="B31:C33"/>
    <mergeCell ref="B34:C36"/>
    <mergeCell ref="B80:F80"/>
    <mergeCell ref="B82:F82"/>
    <mergeCell ref="B81:F81"/>
    <mergeCell ref="B83:F83"/>
    <mergeCell ref="B84:F84"/>
    <mergeCell ref="B186:D186"/>
    <mergeCell ref="B189:D189"/>
    <mergeCell ref="B190:D190"/>
    <mergeCell ref="B156:F156"/>
    <mergeCell ref="B157:F157"/>
    <mergeCell ref="B44:C46"/>
    <mergeCell ref="D44:F44"/>
    <mergeCell ref="D45:F45"/>
    <mergeCell ref="D46:F46"/>
    <mergeCell ref="B196:D196"/>
    <mergeCell ref="B187:L188"/>
    <mergeCell ref="B8:L8"/>
    <mergeCell ref="B9:L9"/>
    <mergeCell ref="B11:L11"/>
    <mergeCell ref="B25:K25"/>
    <mergeCell ref="B29:K29"/>
    <mergeCell ref="B56:L56"/>
    <mergeCell ref="B14:L14"/>
    <mergeCell ref="B15:L15"/>
    <mergeCell ref="B16:L16"/>
    <mergeCell ref="B26:C28"/>
    <mergeCell ref="D26:F26"/>
    <mergeCell ref="D28:F28"/>
    <mergeCell ref="D31:F31"/>
    <mergeCell ref="G21:K21"/>
    <mergeCell ref="D33:F33"/>
    <mergeCell ref="D34:F34"/>
    <mergeCell ref="B21:F21"/>
    <mergeCell ref="D36:F36"/>
    <mergeCell ref="D27:F27"/>
    <mergeCell ref="D32:F32"/>
    <mergeCell ref="G22:K22"/>
    <mergeCell ref="B22:F22"/>
    <mergeCell ref="B53:L53"/>
    <mergeCell ref="B10:L10"/>
  </mergeCells>
  <conditionalFormatting sqref="F255:G255">
    <cfRule type="cellIs" dxfId="53" priority="5" operator="equal">
      <formula>"Error"</formula>
    </cfRule>
  </conditionalFormatting>
  <conditionalFormatting sqref="G81:J83 G85:J87">
    <cfRule type="cellIs" dxfId="52" priority="4" operator="equal">
      <formula>"Error"</formula>
    </cfRule>
  </conditionalFormatting>
  <conditionalFormatting sqref="G151:J153 G155:J157">
    <cfRule type="cellIs" dxfId="51" priority="3" operator="equal">
      <formula>"Error"</formula>
    </cfRule>
  </conditionalFormatting>
  <conditionalFormatting sqref="G222:J224">
    <cfRule type="cellIs" dxfId="50" priority="1" operator="equal">
      <formula>"Error"</formula>
    </cfRule>
  </conditionalFormatting>
  <conditionalFormatting sqref="G226:J228">
    <cfRule type="cellIs" dxfId="49" priority="2"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A7A9B5A4-3971-4DB3-B550-79AB13F3993F}">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2 B262:B264" xr:uid="{BEE76FD3-4952-47B9-9EA6-A45DCD06B10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60 F239 E67:L67 E71:L71 E140:L140 E130:L130 G43:K46 E63:L63 E59:L59 E75:L75 E100:L100 E105:L105 E110:L110 E115:L115 E120:L120 E125:L125 F255:G255 E171:L171 E176:L176 E181:L181 E186:L186 E191:L191 E196:L196 G226:J228 G28:K28 G151:J153 G155:J157 G81:J83 G85:J87 G222:J224 G33:K33 G36:K36 G40:K40 E135:L135 E145:L145 E201:L201 E206:L206 E211:L211 E216:L217" xr:uid="{94B16BB4-2376-458D-88ED-0A71BC913766}">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21:L122 E248:L249 F237:G238 E199:L200 E194:L195 E189:L190 E184:L185 E179:L180 E174:L175 E169:L170 E133:L134 E128:L129 E123:L124 E118:L119 E113:L114 E108:L109 E103:L104 E98:L99 E73:L74 E69:L70 E65:L66 E61:L62 E57:L58 G34:K35 G31:K32 G26:K27 G41:K42 G38:K39 E143:L144 E138:L139 E209:L210 E204:L205 E214:L215" xr:uid="{027B1B71-C8B1-43D5-9040-15650B9A865C}">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47" min="1" max="11" man="1"/>
    <brk id="88" min="1" max="11" man="1"/>
    <brk id="158" min="1" max="11" man="1"/>
    <brk id="229" min="1" max="11"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4AE2D-5CA5-4F8F-AAB9-7CDF6CDAB403}">
  <sheetPr>
    <tabColor rgb="FF92D050"/>
    <pageSetUpPr fitToPage="1"/>
  </sheetPr>
  <dimension ref="A1:S270"/>
  <sheetViews>
    <sheetView showGridLines="0" zoomScaleNormal="100" zoomScaleSheetLayoutView="55" workbookViewId="0">
      <selection activeCell="O1" sqref="O1:P1048576"/>
    </sheetView>
  </sheetViews>
  <sheetFormatPr defaultColWidth="9.140625" defaultRowHeight="14.25" x14ac:dyDescent="0.25"/>
  <cols>
    <col min="1" max="1" width="1.85546875" style="7" customWidth="1"/>
    <col min="2" max="9" width="14.5703125" style="1" customWidth="1"/>
    <col min="10" max="10" width="15" style="1" customWidth="1"/>
    <col min="11" max="12" width="14.5703125" style="1" customWidth="1"/>
    <col min="13" max="13" width="6.140625" style="9" customWidth="1"/>
    <col min="14" max="14" width="9.140625" style="10" customWidth="1"/>
    <col min="15" max="15" width="10.85546875" style="10" hidden="1" customWidth="1"/>
    <col min="16" max="16" width="8.85546875" style="10" hidden="1" customWidth="1"/>
    <col min="17" max="17" width="9.140625" style="10" customWidth="1"/>
    <col min="18" max="16384" width="9.140625" style="10"/>
  </cols>
  <sheetData>
    <row r="1" spans="1:16" x14ac:dyDescent="0.25">
      <c r="O1" s="10" t="s">
        <v>419</v>
      </c>
      <c r="P1" s="10" t="s">
        <v>419</v>
      </c>
    </row>
    <row r="2" spans="1:16" x14ac:dyDescent="0.25">
      <c r="B2" s="12" t="str">
        <f>Pro!B2</f>
        <v>PROTÉGÉ</v>
      </c>
      <c r="C2" s="12"/>
      <c r="D2" s="12"/>
      <c r="O2" s="207" t="s">
        <v>93</v>
      </c>
      <c r="P2" s="207" t="s">
        <v>109</v>
      </c>
    </row>
    <row r="3" spans="1:16" x14ac:dyDescent="0.25">
      <c r="B3" s="13"/>
      <c r="C3" s="13"/>
      <c r="D3" s="13"/>
      <c r="O3" s="2"/>
      <c r="P3" s="2"/>
    </row>
    <row r="4" spans="1:16" s="2" customFormat="1" x14ac:dyDescent="0.25">
      <c r="A4" s="33"/>
      <c r="B4" s="615" t="str">
        <f>Info!B4</f>
        <v>QUESTIONNAIRE À L'INTENTION DES IMPORTATEURS</v>
      </c>
      <c r="C4" s="616"/>
      <c r="D4" s="616"/>
      <c r="E4" s="616"/>
      <c r="F4" s="616"/>
      <c r="G4" s="616"/>
      <c r="H4" s="616"/>
      <c r="I4" s="616"/>
      <c r="J4" s="616"/>
      <c r="K4" s="616"/>
      <c r="L4" s="617"/>
      <c r="M4" s="25"/>
      <c r="N4" s="25"/>
      <c r="O4" s="19"/>
      <c r="P4" s="19"/>
    </row>
    <row r="5" spans="1:16" s="2" customFormat="1" x14ac:dyDescent="0.25">
      <c r="A5" s="33"/>
      <c r="B5" s="651" t="str">
        <f>Info!B5</f>
        <v>NQ-2026-001</v>
      </c>
      <c r="C5" s="652"/>
      <c r="D5" s="652"/>
      <c r="E5" s="652"/>
      <c r="F5" s="652"/>
      <c r="G5" s="652"/>
      <c r="H5" s="652"/>
      <c r="I5" s="652"/>
      <c r="J5" s="652"/>
      <c r="K5" s="652"/>
      <c r="L5" s="653"/>
      <c r="M5" s="25"/>
      <c r="N5" s="25"/>
      <c r="O5" s="19"/>
      <c r="P5" s="19"/>
    </row>
    <row r="6" spans="1:16" s="6" customFormat="1" x14ac:dyDescent="0.25">
      <c r="A6" s="33"/>
      <c r="B6" s="651" t="str">
        <f>Info!B6</f>
        <v>TUBAGES DE PUITS DE GAZ ET DE PÉTROLE</v>
      </c>
      <c r="C6" s="652"/>
      <c r="D6" s="652"/>
      <c r="E6" s="652"/>
      <c r="F6" s="652"/>
      <c r="G6" s="652"/>
      <c r="H6" s="652"/>
      <c r="I6" s="652"/>
      <c r="J6" s="652"/>
      <c r="K6" s="652"/>
      <c r="L6" s="653"/>
      <c r="M6" s="19"/>
      <c r="N6" s="19"/>
      <c r="O6" s="15"/>
      <c r="P6" s="15"/>
    </row>
    <row r="7" spans="1:16" s="6" customFormat="1" x14ac:dyDescent="0.25">
      <c r="A7" s="33"/>
      <c r="B7" s="154"/>
      <c r="C7" s="155"/>
      <c r="D7" s="155"/>
      <c r="E7" s="155"/>
      <c r="F7" s="155"/>
      <c r="G7" s="155"/>
      <c r="H7" s="155"/>
      <c r="I7" s="155"/>
      <c r="J7" s="155"/>
      <c r="K7" s="155"/>
      <c r="L7" s="156"/>
      <c r="M7" s="19"/>
      <c r="N7" s="19"/>
      <c r="O7" s="20"/>
    </row>
    <row r="8" spans="1:16" s="6" customFormat="1" x14ac:dyDescent="0.25">
      <c r="A8" s="33"/>
      <c r="B8" s="657" t="str">
        <f>Public!B8</f>
        <v>Les marchandises dans les questions suivantes font référence aux marchandises comme définies dans la description du produit de l'onglet Intro.</v>
      </c>
      <c r="C8" s="658"/>
      <c r="D8" s="658"/>
      <c r="E8" s="658"/>
      <c r="F8" s="658"/>
      <c r="G8" s="658"/>
      <c r="H8" s="658"/>
      <c r="I8" s="658"/>
      <c r="J8" s="658"/>
      <c r="K8" s="658"/>
      <c r="L8" s="659"/>
      <c r="M8" s="19"/>
      <c r="N8" s="19"/>
      <c r="O8" s="15"/>
      <c r="P8" s="15"/>
    </row>
    <row r="9" spans="1:16" s="6" customFormat="1" x14ac:dyDescent="0.25">
      <c r="A9" s="33"/>
      <c r="B9" s="657" t="str">
        <f>Public!B9</f>
        <v>Des informations sur le produit et un glossaire de termes sont disponibles dans l'onglet Info.</v>
      </c>
      <c r="C9" s="658"/>
      <c r="D9" s="658"/>
      <c r="E9" s="658"/>
      <c r="F9" s="658"/>
      <c r="G9" s="658"/>
      <c r="H9" s="658"/>
      <c r="I9" s="658"/>
      <c r="J9" s="658"/>
      <c r="K9" s="658"/>
      <c r="L9" s="659"/>
      <c r="M9" s="19"/>
      <c r="N9" s="19"/>
      <c r="O9" s="15"/>
    </row>
    <row r="10" spans="1:16" s="6" customFormat="1" ht="30" customHeight="1" x14ac:dyDescent="0.25">
      <c r="A10" s="33"/>
      <c r="B10" s="657" t="str">
        <f>IF(Intro!$G$20="English",O10,P10)</f>
        <v>Utilisez un onglet numéroté « Imp-Aus » pour chaque exportateur à partir duquel votre entreprise a importé. Pour obtenir des onglets « Imp-Aus » supplémentaires, contactez un analyste de cas identifié dans l'onglet « Intro ».</v>
      </c>
      <c r="C10" s="658"/>
      <c r="D10" s="658"/>
      <c r="E10" s="658"/>
      <c r="F10" s="658"/>
      <c r="G10" s="658"/>
      <c r="H10" s="658"/>
      <c r="I10" s="658"/>
      <c r="J10" s="658"/>
      <c r="K10" s="658"/>
      <c r="L10" s="659"/>
      <c r="M10" s="19"/>
      <c r="N10" s="19"/>
      <c r="O10" s="10" t="s">
        <v>680</v>
      </c>
      <c r="P10" s="10" t="s">
        <v>681</v>
      </c>
    </row>
    <row r="11" spans="1:16" s="6" customFormat="1" x14ac:dyDescent="0.25">
      <c r="A11" s="33"/>
      <c r="B11" s="657" t="str">
        <f>Pro!B12</f>
        <v>Pour les questions de cet onglet, notez ce qui suit :</v>
      </c>
      <c r="C11" s="658"/>
      <c r="D11" s="658"/>
      <c r="E11" s="658"/>
      <c r="F11" s="658"/>
      <c r="G11" s="658"/>
      <c r="H11" s="658"/>
      <c r="I11" s="658"/>
      <c r="J11" s="658"/>
      <c r="K11" s="658"/>
      <c r="L11" s="659"/>
      <c r="M11" s="19"/>
      <c r="N11" s="19"/>
      <c r="O11" s="15"/>
      <c r="P11" s="15"/>
    </row>
    <row r="12" spans="1:16" s="6" customFormat="1" ht="25.5" customHeight="1" x14ac:dyDescent="0.25">
      <c r="A12" s="33"/>
      <c r="B12" s="721" t="str">
        <f>Pro!B13</f>
        <v xml:space="preserve">• Veuillez indiquer seulement les ventes effectuées à partir des importations de votre entreprise. Les ventes de marchandises achetées auprès de producteurs canadiens doivent être exclues. </v>
      </c>
      <c r="C12" s="722"/>
      <c r="D12" s="722"/>
      <c r="E12" s="722"/>
      <c r="F12" s="722"/>
      <c r="G12" s="722"/>
      <c r="H12" s="722"/>
      <c r="I12" s="722"/>
      <c r="J12" s="722"/>
      <c r="K12" s="722"/>
      <c r="L12" s="723"/>
      <c r="M12" s="19"/>
      <c r="N12" s="19"/>
      <c r="O12" s="15"/>
      <c r="P12" s="15"/>
    </row>
    <row r="13" spans="1:16" s="6" customFormat="1" x14ac:dyDescent="0.25">
      <c r="A13" s="33"/>
      <c r="B13" s="657" t="str">
        <f>Pro!B14</f>
        <v>• Déclarez toutes les ventes aux entreprises associées canadiennes et étrangères.</v>
      </c>
      <c r="C13" s="658"/>
      <c r="D13" s="658"/>
      <c r="E13" s="658"/>
      <c r="F13" s="658"/>
      <c r="G13" s="658"/>
      <c r="H13" s="658"/>
      <c r="I13" s="658"/>
      <c r="J13" s="658"/>
      <c r="K13" s="658"/>
      <c r="L13" s="659"/>
      <c r="M13" s="19"/>
      <c r="N13" s="19"/>
      <c r="O13" s="15"/>
      <c r="P13" s="15"/>
    </row>
    <row r="14" spans="1:16" s="6" customFormat="1" x14ac:dyDescent="0.25">
      <c r="A14" s="33"/>
      <c r="B14" s="657" t="str">
        <f>Pro!B15</f>
        <v>• Déclarez toutes les ventes à compter de la date de l’expédition au client ou à son entrepôt.</v>
      </c>
      <c r="C14" s="658"/>
      <c r="D14" s="658"/>
      <c r="E14" s="658"/>
      <c r="F14" s="658"/>
      <c r="G14" s="658"/>
      <c r="H14" s="658"/>
      <c r="I14" s="658"/>
      <c r="J14" s="658"/>
      <c r="K14" s="658"/>
      <c r="L14" s="659"/>
      <c r="M14" s="19"/>
      <c r="N14" s="19"/>
      <c r="O14" s="15"/>
      <c r="P14" s="15"/>
    </row>
    <row r="15" spans="1:16" s="6" customFormat="1" x14ac:dyDescent="0.25">
      <c r="A15" s="33"/>
      <c r="B15" s="657" t="str">
        <f>Pro!B16</f>
        <v>• Déclarez toutes les valeurs en dollars canadiens.</v>
      </c>
      <c r="C15" s="658"/>
      <c r="D15" s="658"/>
      <c r="E15" s="658"/>
      <c r="F15" s="658"/>
      <c r="G15" s="658"/>
      <c r="H15" s="658"/>
      <c r="I15" s="658"/>
      <c r="J15" s="658"/>
      <c r="K15" s="658"/>
      <c r="L15" s="659"/>
      <c r="M15" s="19"/>
      <c r="N15" s="19"/>
      <c r="O15" s="15"/>
      <c r="P15" s="15"/>
    </row>
    <row r="16" spans="1:16" s="6" customFormat="1" x14ac:dyDescent="0.25">
      <c r="A16" s="33"/>
      <c r="B16" s="660" t="str">
        <f>IF(Intro!$G$20="English",O16,P16)</f>
        <v>• Si votre entreprise est un utilisateur final ou un détaillant, elle n’a pas besoin de déclarer ses ventes d’importations ou ses stocks d’importations.</v>
      </c>
      <c r="C16" s="661"/>
      <c r="D16" s="661"/>
      <c r="E16" s="661"/>
      <c r="F16" s="661"/>
      <c r="G16" s="661"/>
      <c r="H16" s="661"/>
      <c r="I16" s="661"/>
      <c r="J16" s="661"/>
      <c r="K16" s="661"/>
      <c r="L16" s="662"/>
      <c r="M16" s="19"/>
      <c r="N16" s="19"/>
      <c r="O16" s="15" t="s">
        <v>263</v>
      </c>
      <c r="P16" s="15" t="s">
        <v>264</v>
      </c>
    </row>
    <row r="17" spans="1:16" s="6" customFormat="1" x14ac:dyDescent="0.25">
      <c r="A17" s="33"/>
      <c r="B17" s="14"/>
      <c r="C17" s="14"/>
      <c r="D17" s="14"/>
      <c r="E17" s="3"/>
      <c r="F17" s="3"/>
      <c r="G17" s="3"/>
      <c r="H17" s="3"/>
      <c r="I17" s="3"/>
      <c r="J17" s="3"/>
      <c r="K17" s="3"/>
      <c r="L17" s="3"/>
      <c r="O17" s="15"/>
      <c r="P17" s="15"/>
    </row>
    <row r="18" spans="1:16" x14ac:dyDescent="0.25">
      <c r="B18" s="533" t="str">
        <f>IF(Intro!$G$20="English",O18,P18)</f>
        <v>IMPORTATIONS ET VENTES</v>
      </c>
      <c r="C18" s="534"/>
      <c r="D18" s="534"/>
      <c r="E18" s="534"/>
      <c r="F18" s="534"/>
      <c r="G18" s="534"/>
      <c r="H18" s="534"/>
      <c r="I18" s="534"/>
      <c r="J18" s="534"/>
      <c r="K18" s="534"/>
      <c r="L18" s="535"/>
      <c r="M18" s="10"/>
      <c r="O18" s="105" t="s">
        <v>333</v>
      </c>
      <c r="P18" s="105" t="s">
        <v>334</v>
      </c>
    </row>
    <row r="19" spans="1:16" x14ac:dyDescent="0.25">
      <c r="B19" s="671" t="s">
        <v>12</v>
      </c>
      <c r="C19" s="672"/>
      <c r="D19" s="672"/>
      <c r="E19" s="672"/>
      <c r="F19" s="672"/>
      <c r="G19" s="672"/>
      <c r="H19" s="672"/>
      <c r="I19" s="672"/>
      <c r="J19" s="672"/>
      <c r="K19" s="672"/>
      <c r="L19" s="673"/>
      <c r="M19" s="10"/>
    </row>
    <row r="20" spans="1:16" x14ac:dyDescent="0.25">
      <c r="B20" s="16"/>
      <c r="C20" s="35"/>
      <c r="D20" s="35"/>
      <c r="E20" s="36"/>
      <c r="F20" s="36"/>
      <c r="G20" s="36"/>
      <c r="H20" s="36"/>
      <c r="I20" s="36"/>
      <c r="J20" s="36"/>
      <c r="K20" s="36"/>
      <c r="L20" s="17"/>
      <c r="M20" s="10"/>
    </row>
    <row r="21" spans="1:16" ht="15.75" x14ac:dyDescent="0.25">
      <c r="B21" s="713" t="str">
        <f>IF(Intro!$G$20="English",O21,P21)</f>
        <v xml:space="preserve">Indiquez les importations et les ventes de marchandises de votre entreprise de : </v>
      </c>
      <c r="C21" s="715"/>
      <c r="D21" s="715"/>
      <c r="E21" s="715"/>
      <c r="F21" s="715"/>
      <c r="G21" s="739" t="str">
        <f>IF(Intro!$G$20="English",Variables!B49,Variables!C49)</f>
        <v>Autriche</v>
      </c>
      <c r="H21" s="739"/>
      <c r="I21" s="739"/>
      <c r="J21" s="739"/>
      <c r="K21" s="739"/>
      <c r="L21" s="318"/>
      <c r="M21" s="10"/>
      <c r="O21" s="10" t="s">
        <v>283</v>
      </c>
      <c r="P21" s="10" t="s">
        <v>284</v>
      </c>
    </row>
    <row r="22" spans="1:16" ht="15.75" x14ac:dyDescent="0.25">
      <c r="B22" s="743" t="str">
        <f>IF(Intro!$G$20="English",O22,P22)</f>
        <v>Nom de l'exportateur :</v>
      </c>
      <c r="C22" s="744"/>
      <c r="D22" s="744"/>
      <c r="E22" s="744"/>
      <c r="F22" s="744"/>
      <c r="G22" s="742"/>
      <c r="H22" s="742"/>
      <c r="I22" s="742"/>
      <c r="J22" s="742"/>
      <c r="K22" s="742"/>
      <c r="L22" s="318"/>
      <c r="M22" s="10"/>
      <c r="O22" s="10" t="s">
        <v>168</v>
      </c>
      <c r="P22" s="10" t="s">
        <v>169</v>
      </c>
    </row>
    <row r="23" spans="1:16" x14ac:dyDescent="0.25">
      <c r="B23" s="131"/>
      <c r="C23" s="132"/>
      <c r="D23" s="132"/>
      <c r="E23" s="132"/>
      <c r="F23" s="132"/>
      <c r="G23" s="36"/>
      <c r="H23" s="36"/>
      <c r="I23" s="36"/>
      <c r="J23" s="36"/>
      <c r="K23" s="36"/>
      <c r="L23" s="17"/>
      <c r="M23" s="10"/>
    </row>
    <row r="24" spans="1:16" x14ac:dyDescent="0.25">
      <c r="B24" s="131"/>
      <c r="C24" s="132"/>
      <c r="D24" s="132"/>
      <c r="E24" s="132"/>
      <c r="F24" s="132"/>
      <c r="G24" s="322">
        <f>Variables!$B$6</f>
        <v>2023</v>
      </c>
      <c r="H24" s="322">
        <f>G24+1</f>
        <v>2024</v>
      </c>
      <c r="I24" s="322">
        <f>H24+1</f>
        <v>2025</v>
      </c>
      <c r="J24" s="322" t="str">
        <f>IF(Intro!$G$20="English",Variables!B9,Variables!C9)</f>
        <v>janv.-mars 2025</v>
      </c>
      <c r="K24" s="322" t="str">
        <f>IF(Intro!$G$20="English",Variables!B10,Variables!C10)</f>
        <v>janv.-mars 2026</v>
      </c>
      <c r="L24" s="71"/>
      <c r="M24" s="10"/>
      <c r="O24" s="18"/>
    </row>
    <row r="25" spans="1:16" s="207" customFormat="1" x14ac:dyDescent="0.25">
      <c r="A25" s="32"/>
      <c r="B25" s="729" t="str">
        <f>IF(Intro!$G$20="English",O25,P25)</f>
        <v>Importations au Canada</v>
      </c>
      <c r="C25" s="730"/>
      <c r="D25" s="730"/>
      <c r="E25" s="730"/>
      <c r="F25" s="730"/>
      <c r="G25" s="730"/>
      <c r="H25" s="730"/>
      <c r="I25" s="730"/>
      <c r="J25" s="730"/>
      <c r="K25" s="730"/>
      <c r="L25" s="71"/>
      <c r="O25" s="26" t="s">
        <v>234</v>
      </c>
      <c r="P25" s="207" t="s">
        <v>235</v>
      </c>
    </row>
    <row r="26" spans="1:16" x14ac:dyDescent="0.25">
      <c r="B26" s="736" t="str">
        <f>IF(Intro!$G$20="English",O26,P26)</f>
        <v>Importations</v>
      </c>
      <c r="C26" s="737"/>
      <c r="D26" s="738" t="str">
        <f>IF(Intro!$G$20="English",Variables!$B$23,Variables!$C$23)</f>
        <v>tonnes</v>
      </c>
      <c r="E26" s="738"/>
      <c r="F26" s="738"/>
      <c r="G26" s="133"/>
      <c r="H26" s="133"/>
      <c r="I26" s="133"/>
      <c r="J26" s="133"/>
      <c r="K26" s="127"/>
      <c r="L26" s="71"/>
      <c r="M26" s="10"/>
      <c r="O26" s="10" t="s">
        <v>91</v>
      </c>
      <c r="P26" s="10" t="s">
        <v>170</v>
      </c>
    </row>
    <row r="27" spans="1:16" x14ac:dyDescent="0.25">
      <c r="B27" s="736"/>
      <c r="C27" s="737"/>
      <c r="D27" s="738" t="str">
        <f>IF(Intro!$G$20="English",O27,P27)</f>
        <v>valeur d'achat nette rendue (CAD)</v>
      </c>
      <c r="E27" s="738"/>
      <c r="F27" s="738"/>
      <c r="G27" s="133"/>
      <c r="H27" s="133"/>
      <c r="I27" s="133"/>
      <c r="J27" s="133"/>
      <c r="K27" s="127"/>
      <c r="L27" s="71"/>
      <c r="M27" s="10"/>
      <c r="O27" s="10" t="s">
        <v>341</v>
      </c>
      <c r="P27" s="10" t="s">
        <v>340</v>
      </c>
    </row>
    <row r="28" spans="1:16" x14ac:dyDescent="0.25">
      <c r="B28" s="736"/>
      <c r="C28" s="737"/>
      <c r="D28" s="738" t="str">
        <f>"$ / "&amp;IF(Intro!$G$20="English",Variables!$B$24,Variables!$C$24)</f>
        <v>$ / tonne</v>
      </c>
      <c r="E28" s="738"/>
      <c r="F28" s="738"/>
      <c r="G28" s="150" t="str">
        <f>IF(G26=0,"-",G27/G26)</f>
        <v>-</v>
      </c>
      <c r="H28" s="150" t="str">
        <f>IF(H26=0,"-",H27/H26)</f>
        <v>-</v>
      </c>
      <c r="I28" s="150" t="str">
        <f t="shared" ref="I28:K28" si="0">IF(I26=0,"-",I27/I26)</f>
        <v>-</v>
      </c>
      <c r="J28" s="150" t="str">
        <f t="shared" si="0"/>
        <v>-</v>
      </c>
      <c r="K28" s="150" t="str">
        <f t="shared" si="0"/>
        <v>-</v>
      </c>
      <c r="L28" s="71"/>
      <c r="M28" s="10"/>
    </row>
    <row r="29" spans="1:16" s="207" customFormat="1" x14ac:dyDescent="0.25">
      <c r="A29" s="32"/>
      <c r="B29" s="731" t="str">
        <f>IF(Intro!$G$20="English",O29,P29)</f>
        <v>Ventes au Canada</v>
      </c>
      <c r="C29" s="732"/>
      <c r="D29" s="732"/>
      <c r="E29" s="732"/>
      <c r="F29" s="732"/>
      <c r="G29" s="732"/>
      <c r="H29" s="732"/>
      <c r="I29" s="732"/>
      <c r="J29" s="732"/>
      <c r="K29" s="732"/>
      <c r="L29" s="71"/>
      <c r="O29" s="26" t="s">
        <v>236</v>
      </c>
      <c r="P29" s="207" t="s">
        <v>237</v>
      </c>
    </row>
    <row r="30" spans="1:16" s="207" customFormat="1" x14ac:dyDescent="0.25">
      <c r="A30" s="32"/>
      <c r="B30" s="731" t="str">
        <f>IF(Intro!$G$20="English",O30,P30)</f>
        <v>Sans soudure</v>
      </c>
      <c r="C30" s="732"/>
      <c r="D30" s="732"/>
      <c r="E30" s="732"/>
      <c r="F30" s="732"/>
      <c r="G30" s="732"/>
      <c r="H30" s="732"/>
      <c r="I30" s="732"/>
      <c r="J30" s="732"/>
      <c r="K30" s="732"/>
      <c r="L30" s="71"/>
      <c r="O30" s="26" t="s">
        <v>485</v>
      </c>
      <c r="P30" s="207" t="s">
        <v>508</v>
      </c>
    </row>
    <row r="31" spans="1:16" x14ac:dyDescent="0.25">
      <c r="B31" s="567" t="str">
        <f>IF(Intro!$G$20="English",O31,P31)</f>
        <v>Ventes aux distributeurs au Canada</v>
      </c>
      <c r="C31" s="568"/>
      <c r="D31" s="738" t="str">
        <f>D26</f>
        <v>tonnes</v>
      </c>
      <c r="E31" s="738"/>
      <c r="F31" s="738"/>
      <c r="G31" s="133"/>
      <c r="H31" s="133"/>
      <c r="I31" s="133"/>
      <c r="J31" s="133"/>
      <c r="K31" s="127"/>
      <c r="L31" s="71"/>
      <c r="M31" s="10"/>
      <c r="O31" s="10" t="str">
        <f>"Sales to "&amp;Variables!$B$26&amp;" in Canada"</f>
        <v>Sales to distributors in Canada</v>
      </c>
      <c r="P31" s="10" t="str">
        <f>"Ventes aux "&amp;Variables!$C$26&amp;" au Canada"</f>
        <v>Ventes aux distributeurs au Canada</v>
      </c>
    </row>
    <row r="32" spans="1:16" x14ac:dyDescent="0.25">
      <c r="B32" s="567"/>
      <c r="C32" s="568"/>
      <c r="D32" s="738" t="str">
        <f>IF(Intro!$G$20="English",O32,P32)</f>
        <v>valeur de vente nette rendue (CAD)</v>
      </c>
      <c r="E32" s="738"/>
      <c r="F32" s="738"/>
      <c r="G32" s="133"/>
      <c r="H32" s="133"/>
      <c r="I32" s="133"/>
      <c r="J32" s="133"/>
      <c r="K32" s="127"/>
      <c r="L32" s="71"/>
      <c r="M32" s="10"/>
      <c r="O32" s="10" t="s">
        <v>343</v>
      </c>
      <c r="P32" s="10" t="s">
        <v>342</v>
      </c>
    </row>
    <row r="33" spans="1:16" ht="15" thickBot="1" x14ac:dyDescent="0.3">
      <c r="B33" s="749"/>
      <c r="C33" s="750"/>
      <c r="D33" s="740" t="str">
        <f>D28</f>
        <v>$ / tonne</v>
      </c>
      <c r="E33" s="740"/>
      <c r="F33" s="740"/>
      <c r="G33" s="150" t="str">
        <f>IF(G31=0,"-",G32/G31)</f>
        <v>-</v>
      </c>
      <c r="H33" s="150" t="str">
        <f>IF(H31=0,"-",H32/H31)</f>
        <v>-</v>
      </c>
      <c r="I33" s="150" t="str">
        <f t="shared" ref="I33:K33" si="1">IF(I31=0,"-",I32/I31)</f>
        <v>-</v>
      </c>
      <c r="J33" s="150" t="str">
        <f t="shared" si="1"/>
        <v>-</v>
      </c>
      <c r="K33" s="150" t="str">
        <f t="shared" si="1"/>
        <v>-</v>
      </c>
      <c r="L33" s="71"/>
      <c r="M33" s="10"/>
    </row>
    <row r="34" spans="1:16" x14ac:dyDescent="0.25">
      <c r="B34" s="751" t="str">
        <f>IF(Intro!$G$20="English",O34,P34)</f>
        <v>Ventes aux utilisateurs finals au Canada</v>
      </c>
      <c r="C34" s="752"/>
      <c r="D34" s="741" t="str">
        <f t="shared" ref="D34:D35" si="2">D31</f>
        <v>tonnes</v>
      </c>
      <c r="E34" s="741"/>
      <c r="F34" s="741"/>
      <c r="G34" s="133"/>
      <c r="H34" s="133"/>
      <c r="I34" s="133"/>
      <c r="J34" s="133"/>
      <c r="K34" s="127"/>
      <c r="L34" s="71"/>
      <c r="M34" s="10"/>
      <c r="O34" s="10" t="str">
        <f>"Sales to "&amp;Variables!$B$27&amp;" in Canada"</f>
        <v>Sales to end users in Canada</v>
      </c>
      <c r="P34" s="10" t="str">
        <f>"Ventes aux "&amp;Variables!$C$27&amp;" au Canada"</f>
        <v>Ventes aux utilisateurs finals au Canada</v>
      </c>
    </row>
    <row r="35" spans="1:16" x14ac:dyDescent="0.25">
      <c r="B35" s="567"/>
      <c r="C35" s="568"/>
      <c r="D35" s="738" t="str">
        <f t="shared" si="2"/>
        <v>valeur de vente nette rendue (CAD)</v>
      </c>
      <c r="E35" s="738"/>
      <c r="F35" s="738"/>
      <c r="G35" s="133"/>
      <c r="H35" s="133"/>
      <c r="I35" s="133"/>
      <c r="J35" s="133"/>
      <c r="K35" s="127"/>
      <c r="L35" s="71"/>
      <c r="M35" s="10"/>
    </row>
    <row r="36" spans="1:16" ht="15" thickBot="1" x14ac:dyDescent="0.3">
      <c r="B36" s="749"/>
      <c r="C36" s="750"/>
      <c r="D36" s="740" t="str">
        <f>D33</f>
        <v>$ / tonne</v>
      </c>
      <c r="E36" s="740"/>
      <c r="F36" s="740"/>
      <c r="G36" s="150" t="str">
        <f>IF(G34=0,"-",G35/G34)</f>
        <v>-</v>
      </c>
      <c r="H36" s="150" t="str">
        <f>IF(H34=0,"-",H35/H34)</f>
        <v>-</v>
      </c>
      <c r="I36" s="150" t="str">
        <f>IF(I34=0,"-",I35/I34)</f>
        <v>-</v>
      </c>
      <c r="J36" s="150" t="str">
        <f>IF(J34=0,"-",J35/J34)</f>
        <v>-</v>
      </c>
      <c r="K36" s="150" t="str">
        <f>IF(K34=0,"-",K35/K34)</f>
        <v>-</v>
      </c>
      <c r="L36" s="71"/>
      <c r="M36" s="10"/>
    </row>
    <row r="37" spans="1:16" x14ac:dyDescent="0.25">
      <c r="B37" s="731" t="str">
        <f>IF(Intro!$G$20="English",O37,P37)</f>
        <v>Soudé</v>
      </c>
      <c r="C37" s="732"/>
      <c r="D37" s="732"/>
      <c r="E37" s="732"/>
      <c r="F37" s="732"/>
      <c r="G37" s="732"/>
      <c r="H37" s="732"/>
      <c r="I37" s="732"/>
      <c r="J37" s="732"/>
      <c r="K37" s="732"/>
      <c r="L37" s="71"/>
      <c r="M37" s="10"/>
      <c r="O37" s="26" t="s">
        <v>486</v>
      </c>
      <c r="P37" s="207" t="s">
        <v>509</v>
      </c>
    </row>
    <row r="38" spans="1:16" x14ac:dyDescent="0.25">
      <c r="B38" s="567" t="str">
        <f>IF(Intro!$G$20="English",O31,P31)</f>
        <v>Ventes aux distributeurs au Canada</v>
      </c>
      <c r="C38" s="568"/>
      <c r="D38" s="738" t="str">
        <f>D34</f>
        <v>tonnes</v>
      </c>
      <c r="E38" s="738"/>
      <c r="F38" s="738"/>
      <c r="G38" s="133"/>
      <c r="H38" s="133"/>
      <c r="I38" s="133"/>
      <c r="J38" s="133"/>
      <c r="K38" s="127"/>
      <c r="L38" s="71"/>
      <c r="M38" s="10"/>
      <c r="O38" s="10" t="s">
        <v>343</v>
      </c>
      <c r="P38" s="10" t="s">
        <v>342</v>
      </c>
    </row>
    <row r="39" spans="1:16" x14ac:dyDescent="0.25">
      <c r="B39" s="567"/>
      <c r="C39" s="568"/>
      <c r="D39" s="738" t="str">
        <f>IF(Intro!$G$20="English",O38,P38)</f>
        <v>valeur de vente nette rendue (CAD)</v>
      </c>
      <c r="E39" s="738"/>
      <c r="F39" s="738"/>
      <c r="G39" s="133"/>
      <c r="H39" s="133"/>
      <c r="I39" s="133"/>
      <c r="J39" s="133"/>
      <c r="K39" s="127"/>
      <c r="L39" s="71"/>
      <c r="M39" s="10"/>
    </row>
    <row r="40" spans="1:16" ht="15" thickBot="1" x14ac:dyDescent="0.3">
      <c r="B40" s="749"/>
      <c r="C40" s="750"/>
      <c r="D40" s="740" t="str">
        <f>D36</f>
        <v>$ / tonne</v>
      </c>
      <c r="E40" s="740"/>
      <c r="F40" s="740"/>
      <c r="G40" s="150" t="str">
        <f>IF(G38=0,"-",G39/G38)</f>
        <v>-</v>
      </c>
      <c r="H40" s="150" t="str">
        <f>IF(H38=0,"-",H39/H38)</f>
        <v>-</v>
      </c>
      <c r="I40" s="150" t="str">
        <f t="shared" ref="I40:K40" si="3">IF(I38=0,"-",I39/I38)</f>
        <v>-</v>
      </c>
      <c r="J40" s="150" t="str">
        <f t="shared" si="3"/>
        <v>-</v>
      </c>
      <c r="K40" s="150" t="str">
        <f t="shared" si="3"/>
        <v>-</v>
      </c>
      <c r="L40" s="71"/>
      <c r="M40" s="10"/>
      <c r="O40" s="10" t="str">
        <f>"Sales to "&amp;Variables!$B$27&amp;" in Canada"</f>
        <v>Sales to end users in Canada</v>
      </c>
      <c r="P40" s="10" t="str">
        <f>"Ventes aux "&amp;Variables!$C$27&amp;" au Canada"</f>
        <v>Ventes aux utilisateurs finals au Canada</v>
      </c>
    </row>
    <row r="41" spans="1:16" x14ac:dyDescent="0.25">
      <c r="B41" s="751" t="str">
        <f>IF(Intro!$G$20="English",O34,P34)</f>
        <v>Ventes aux utilisateurs finals au Canada</v>
      </c>
      <c r="C41" s="752"/>
      <c r="D41" s="741" t="str">
        <f t="shared" ref="D41:D42" si="4">D38</f>
        <v>tonnes</v>
      </c>
      <c r="E41" s="741"/>
      <c r="F41" s="741"/>
      <c r="G41" s="133"/>
      <c r="H41" s="133"/>
      <c r="I41" s="133"/>
      <c r="J41" s="133"/>
      <c r="K41" s="127"/>
      <c r="L41" s="71"/>
      <c r="M41" s="10"/>
    </row>
    <row r="42" spans="1:16" x14ac:dyDescent="0.25">
      <c r="B42" s="567"/>
      <c r="C42" s="568"/>
      <c r="D42" s="738" t="str">
        <f t="shared" si="4"/>
        <v>valeur de vente nette rendue (CAD)</v>
      </c>
      <c r="E42" s="738"/>
      <c r="F42" s="738"/>
      <c r="G42" s="133"/>
      <c r="H42" s="133"/>
      <c r="I42" s="133"/>
      <c r="J42" s="133"/>
      <c r="K42" s="127"/>
      <c r="L42" s="71"/>
      <c r="M42" s="10"/>
    </row>
    <row r="43" spans="1:16" ht="15" thickBot="1" x14ac:dyDescent="0.3">
      <c r="B43" s="749"/>
      <c r="C43" s="750"/>
      <c r="D43" s="740" t="str">
        <f>D40</f>
        <v>$ / tonne</v>
      </c>
      <c r="E43" s="740"/>
      <c r="F43" s="740"/>
      <c r="G43" s="150" t="str">
        <f>IF(G41=0,"-",G42/G41)</f>
        <v>-</v>
      </c>
      <c r="H43" s="150" t="str">
        <f>IF(H41=0,"-",H42/H41)</f>
        <v>-</v>
      </c>
      <c r="I43" s="150" t="str">
        <f>IF(I41=0,"-",I42/I41)</f>
        <v>-</v>
      </c>
      <c r="J43" s="150" t="str">
        <f>IF(J41=0,"-",J42/J41)</f>
        <v>-</v>
      </c>
      <c r="K43" s="150" t="str">
        <f>IF(K41=0,"-",K42/K41)</f>
        <v>-</v>
      </c>
      <c r="L43" s="71"/>
      <c r="M43" s="10"/>
    </row>
    <row r="44" spans="1:16" x14ac:dyDescent="0.25">
      <c r="B44" s="634" t="str">
        <f>IF(Intro!$G$20="English",O44,P44)</f>
        <v>Ventes totales au Canada</v>
      </c>
      <c r="C44" s="635"/>
      <c r="D44" s="766" t="str">
        <f>D34</f>
        <v>tonnes</v>
      </c>
      <c r="E44" s="766"/>
      <c r="F44" s="766"/>
      <c r="G44" s="135">
        <f t="shared" ref="G44:K45" si="5">G31+G34+G38+G41</f>
        <v>0</v>
      </c>
      <c r="H44" s="135">
        <f t="shared" si="5"/>
        <v>0</v>
      </c>
      <c r="I44" s="135">
        <f t="shared" si="5"/>
        <v>0</v>
      </c>
      <c r="J44" s="135">
        <f t="shared" si="5"/>
        <v>0</v>
      </c>
      <c r="K44" s="135">
        <f t="shared" si="5"/>
        <v>0</v>
      </c>
      <c r="L44" s="71"/>
      <c r="M44" s="10"/>
      <c r="O44" s="10" t="s">
        <v>344</v>
      </c>
      <c r="P44" s="10" t="s">
        <v>345</v>
      </c>
    </row>
    <row r="45" spans="1:16" x14ac:dyDescent="0.25">
      <c r="B45" s="623"/>
      <c r="C45" s="624"/>
      <c r="D45" s="767" t="str">
        <f>D35</f>
        <v>valeur de vente nette rendue (CAD)</v>
      </c>
      <c r="E45" s="767"/>
      <c r="F45" s="767"/>
      <c r="G45" s="134">
        <f t="shared" si="5"/>
        <v>0</v>
      </c>
      <c r="H45" s="134">
        <f t="shared" si="5"/>
        <v>0</v>
      </c>
      <c r="I45" s="134">
        <f t="shared" si="5"/>
        <v>0</v>
      </c>
      <c r="J45" s="134">
        <f t="shared" si="5"/>
        <v>0</v>
      </c>
      <c r="K45" s="134">
        <f t="shared" si="5"/>
        <v>0</v>
      </c>
      <c r="L45" s="71"/>
      <c r="M45" s="10"/>
    </row>
    <row r="46" spans="1:16" x14ac:dyDescent="0.25">
      <c r="B46" s="623"/>
      <c r="C46" s="624"/>
      <c r="D46" s="767" t="str">
        <f>D36</f>
        <v>$ / tonne</v>
      </c>
      <c r="E46" s="767"/>
      <c r="F46" s="767"/>
      <c r="G46" s="150" t="str">
        <f>IF(G44=0,"-",G45/G44)</f>
        <v>-</v>
      </c>
      <c r="H46" s="150" t="str">
        <f>IF(H44=0,"-",H45/H44)</f>
        <v>-</v>
      </c>
      <c r="I46" s="150" t="str">
        <f>IF(I44=0,"-",I45/I44)</f>
        <v>-</v>
      </c>
      <c r="J46" s="150" t="str">
        <f t="shared" ref="J46:K46" si="6">IF(J44=0,"-",J45/J44)</f>
        <v>-</v>
      </c>
      <c r="K46" s="150" t="str">
        <f t="shared" si="6"/>
        <v>-</v>
      </c>
      <c r="L46" s="71"/>
      <c r="M46" s="10"/>
    </row>
    <row r="47" spans="1:16" x14ac:dyDescent="0.25">
      <c r="B47" s="72"/>
      <c r="C47" s="82"/>
      <c r="D47" s="82"/>
      <c r="E47" s="82"/>
      <c r="F47" s="82"/>
      <c r="G47" s="82"/>
      <c r="H47" s="82"/>
      <c r="I47" s="82"/>
      <c r="J47" s="82"/>
      <c r="K47" s="82"/>
      <c r="L47" s="83"/>
      <c r="M47" s="10"/>
    </row>
    <row r="48" spans="1:16" s="207" customFormat="1" x14ac:dyDescent="0.25">
      <c r="A48" s="7"/>
      <c r="B48" s="31"/>
      <c r="C48" s="31"/>
      <c r="D48" s="89"/>
      <c r="E48" s="319"/>
      <c r="F48" s="319"/>
      <c r="G48" s="319"/>
      <c r="H48" s="319"/>
      <c r="I48" s="319"/>
      <c r="J48" s="319"/>
      <c r="K48" s="319"/>
      <c r="L48" s="319"/>
      <c r="M48" s="73"/>
    </row>
    <row r="49" spans="1:16" x14ac:dyDescent="0.25">
      <c r="B49" s="533" t="str">
        <f>IF(Intro!$G$20="English",O49,P49)</f>
        <v>VENTES AU CANADA D'IMPORTATIONS À VOS CINQ PLUS IMPORTANTS CLIENTS</v>
      </c>
      <c r="C49" s="534"/>
      <c r="D49" s="534"/>
      <c r="E49" s="534"/>
      <c r="F49" s="534"/>
      <c r="G49" s="534"/>
      <c r="H49" s="534"/>
      <c r="I49" s="534"/>
      <c r="J49" s="534"/>
      <c r="K49" s="534"/>
      <c r="L49" s="535"/>
      <c r="M49" s="10"/>
      <c r="O49" s="105" t="s">
        <v>335</v>
      </c>
      <c r="P49" s="105" t="s">
        <v>397</v>
      </c>
    </row>
    <row r="50" spans="1:16" s="207" customFormat="1" x14ac:dyDescent="0.25">
      <c r="A50" s="7"/>
      <c r="B50" s="671" t="s">
        <v>15</v>
      </c>
      <c r="C50" s="672"/>
      <c r="D50" s="672"/>
      <c r="E50" s="672"/>
      <c r="F50" s="672"/>
      <c r="G50" s="672"/>
      <c r="H50" s="672"/>
      <c r="I50" s="672"/>
      <c r="J50" s="672"/>
      <c r="K50" s="672"/>
      <c r="L50" s="673"/>
      <c r="M50" s="73"/>
      <c r="O50" s="10"/>
    </row>
    <row r="51" spans="1:16" x14ac:dyDescent="0.25">
      <c r="B51" s="16"/>
      <c r="C51" s="35"/>
      <c r="D51" s="35"/>
      <c r="E51" s="36"/>
      <c r="F51" s="36"/>
      <c r="G51" s="36"/>
      <c r="H51" s="36"/>
      <c r="I51" s="36"/>
      <c r="J51" s="36"/>
      <c r="K51" s="36"/>
      <c r="L51" s="17"/>
      <c r="M51" s="10"/>
    </row>
    <row r="52" spans="1:16" x14ac:dyDescent="0.25">
      <c r="B52" s="530" t="str">
        <f>IF(Intro!$G$20="English",O52,P52)</f>
        <v>Déclarez le volume et la valeur des ventes d'importations au Canada pour chaque compte indiqué ci-dessous :</v>
      </c>
      <c r="C52" s="531"/>
      <c r="D52" s="531"/>
      <c r="E52" s="531"/>
      <c r="F52" s="531"/>
      <c r="G52" s="531"/>
      <c r="H52" s="531"/>
      <c r="I52" s="531"/>
      <c r="J52" s="531"/>
      <c r="K52" s="531"/>
      <c r="L52" s="532"/>
      <c r="M52" s="10"/>
      <c r="O52" s="18" t="s">
        <v>172</v>
      </c>
      <c r="P52" s="10" t="s">
        <v>173</v>
      </c>
    </row>
    <row r="53" spans="1:16" x14ac:dyDescent="0.25">
      <c r="B53" s="530" t="str">
        <f>Pro!B22</f>
        <v>Note - Ne répondez à cette question que si votre entreprise a vendu les marchandises du 1er janvier 2023 au 31 mars 2026.</v>
      </c>
      <c r="C53" s="531"/>
      <c r="D53" s="531"/>
      <c r="E53" s="531"/>
      <c r="F53" s="531"/>
      <c r="G53" s="531"/>
      <c r="H53" s="531"/>
      <c r="I53" s="531"/>
      <c r="J53" s="531"/>
      <c r="K53" s="531"/>
      <c r="L53" s="532"/>
      <c r="M53" s="10"/>
      <c r="O53" s="18"/>
    </row>
    <row r="54" spans="1:16" x14ac:dyDescent="0.25">
      <c r="B54" s="316"/>
      <c r="C54" s="317"/>
      <c r="D54" s="35"/>
      <c r="E54" s="36"/>
      <c r="F54" s="36"/>
      <c r="G54" s="36"/>
      <c r="H54" s="36"/>
      <c r="I54" s="36"/>
      <c r="J54" s="36"/>
      <c r="K54" s="36"/>
      <c r="L54" s="17"/>
      <c r="M54" s="10"/>
      <c r="O54" s="18"/>
    </row>
    <row r="55" spans="1:16" x14ac:dyDescent="0.25">
      <c r="B55" s="772"/>
      <c r="C55" s="773"/>
      <c r="D55" s="774"/>
      <c r="E55" s="320" t="str">
        <f>IF(Intro!$G$20="English","Q","T")&amp;IF(MID(F55,2,1)&lt;&gt;"1",MID(F55,2,1)-1&amp;" - "&amp;MID(F55,6,4),"4 - "&amp;MID(F55,6,4)-1)</f>
        <v>T2 - 2024</v>
      </c>
      <c r="F55" s="320" t="str">
        <f>IF(Intro!$G$20="English","Q","T")&amp;IF(MID(G55,2,1)&lt;&gt;"1",MID(G55,2,1)-1&amp;" - "&amp;MID(G55,6,4),"4 - "&amp;MID(G55,6,4)-1)</f>
        <v>T3 - 2024</v>
      </c>
      <c r="G55" s="320" t="str">
        <f>IF(Intro!$G$20="English","Q","T")&amp;IF(MID(H55,2,1)&lt;&gt;"1",MID(H55,2,1)-1&amp;" - "&amp;MID(H55,6,4),"4 - "&amp;MID(H55,6,4)-1)</f>
        <v>T4 - 2024</v>
      </c>
      <c r="H55" s="320" t="str">
        <f>IF(Intro!$G$20="English","Q","T")&amp;IF(MID(I55,2,1)&lt;&gt;"1",MID(I55,2,1)-1&amp;" - "&amp;MID(I55,6,4),"4 - "&amp;MID(I55,6,4)-1)</f>
        <v>T1 - 2025</v>
      </c>
      <c r="I55" s="320" t="str">
        <f>IF(Intro!$G$20="English","Q","T")&amp;IF(MID(J55,2,1)&lt;&gt;"1",MID(J55,2,1)-1&amp;" - "&amp;MID(J55,6,4),"4 - "&amp;MID(J55,6,4)-1)</f>
        <v>T2 - 2025</v>
      </c>
      <c r="J55" s="320" t="str">
        <f>IF(Intro!$G$20="English","Q","T")&amp;IF(MID(K55,2,1)&lt;&gt;"1",MID(K55,2,1)-1&amp;" - "&amp;MID(K55,6,4),"4 - "&amp;MID(K55,6,4)-1)</f>
        <v>T3 - 2025</v>
      </c>
      <c r="K55" s="320" t="str">
        <f>IF(Intro!$G$20="English","Q","T")&amp;IF(MID(L55,2,1)&lt;&gt;"1",MID(L55,2,1)-1&amp;" - "&amp;MID(L55,6,4),"4 - "&amp;MID(L55,6,4)-1)</f>
        <v>T4 - 2025</v>
      </c>
      <c r="L55" s="321" t="str">
        <f>IF(Intro!$G$20="English",Variables!B29&amp;" - ",Variables!C29&amp;" - ")&amp;Variables!B8</f>
        <v>T1 - 2026</v>
      </c>
      <c r="M55" s="10"/>
      <c r="O55" s="18"/>
    </row>
    <row r="56" spans="1:16" x14ac:dyDescent="0.25">
      <c r="B56" s="733" t="str">
        <f>IF(Intro!$G$20="English",O57,P57)</f>
        <v xml:space="preserve">Client 1 - </v>
      </c>
      <c r="C56" s="734"/>
      <c r="D56" s="734"/>
      <c r="E56" s="734"/>
      <c r="F56" s="734"/>
      <c r="G56" s="734"/>
      <c r="H56" s="734"/>
      <c r="I56" s="734"/>
      <c r="J56" s="734"/>
      <c r="K56" s="734"/>
      <c r="L56" s="735"/>
      <c r="M56" s="10"/>
      <c r="O56" s="18"/>
    </row>
    <row r="57" spans="1:16" x14ac:dyDescent="0.25">
      <c r="B57" s="747" t="str">
        <f>D$31</f>
        <v>tonnes</v>
      </c>
      <c r="C57" s="748"/>
      <c r="D57" s="748"/>
      <c r="E57" s="137"/>
      <c r="F57" s="137"/>
      <c r="G57" s="137"/>
      <c r="H57" s="137"/>
      <c r="I57" s="137"/>
      <c r="J57" s="137"/>
      <c r="K57" s="137"/>
      <c r="L57" s="138"/>
      <c r="M57" s="10"/>
      <c r="O57" s="10" t="str">
        <f>"Account 1 - "&amp;Pro!C119</f>
        <v xml:space="preserve">Account 1 - </v>
      </c>
      <c r="P57" s="10" t="str">
        <f>"Client 1 - "&amp;Pro!C119</f>
        <v xml:space="preserve">Client 1 - </v>
      </c>
    </row>
    <row r="58" spans="1:16" x14ac:dyDescent="0.25">
      <c r="B58" s="747" t="str">
        <f>D$32</f>
        <v>valeur de vente nette rendue (CAD)</v>
      </c>
      <c r="C58" s="748"/>
      <c r="D58" s="748"/>
      <c r="E58" s="137"/>
      <c r="F58" s="137"/>
      <c r="G58" s="137"/>
      <c r="H58" s="137"/>
      <c r="I58" s="137"/>
      <c r="J58" s="137"/>
      <c r="K58" s="137"/>
      <c r="L58" s="138"/>
      <c r="M58" s="10"/>
    </row>
    <row r="59" spans="1:16" x14ac:dyDescent="0.25">
      <c r="B59" s="747" t="str">
        <f>D$33</f>
        <v>$ / tonne</v>
      </c>
      <c r="C59" s="748"/>
      <c r="D59" s="748"/>
      <c r="E59" s="151" t="str">
        <f>IF(E57=0,"-",E58/E57)</f>
        <v>-</v>
      </c>
      <c r="F59" s="151" t="str">
        <f t="shared" ref="F59:L59" si="7">IF(F57=0,"-",F58/F57)</f>
        <v>-</v>
      </c>
      <c r="G59" s="151" t="str">
        <f t="shared" si="7"/>
        <v>-</v>
      </c>
      <c r="H59" s="151" t="str">
        <f t="shared" si="7"/>
        <v>-</v>
      </c>
      <c r="I59" s="151" t="str">
        <f t="shared" si="7"/>
        <v>-</v>
      </c>
      <c r="J59" s="151" t="str">
        <f t="shared" si="7"/>
        <v>-</v>
      </c>
      <c r="K59" s="151" t="str">
        <f t="shared" si="7"/>
        <v>-</v>
      </c>
      <c r="L59" s="152" t="str">
        <f t="shared" si="7"/>
        <v>-</v>
      </c>
      <c r="M59" s="10"/>
    </row>
    <row r="60" spans="1:16" x14ac:dyDescent="0.25">
      <c r="B60" s="733" t="str">
        <f>IF(Intro!$G$20="English",O61,P61)</f>
        <v xml:space="preserve">Client 2 - </v>
      </c>
      <c r="C60" s="734"/>
      <c r="D60" s="734"/>
      <c r="E60" s="734"/>
      <c r="F60" s="734"/>
      <c r="G60" s="734"/>
      <c r="H60" s="734"/>
      <c r="I60" s="734"/>
      <c r="J60" s="734"/>
      <c r="K60" s="734"/>
      <c r="L60" s="735"/>
      <c r="M60" s="10"/>
    </row>
    <row r="61" spans="1:16" x14ac:dyDescent="0.25">
      <c r="B61" s="747" t="str">
        <f>D$31</f>
        <v>tonnes</v>
      </c>
      <c r="C61" s="748"/>
      <c r="D61" s="748"/>
      <c r="E61" s="137"/>
      <c r="F61" s="137"/>
      <c r="G61" s="137"/>
      <c r="H61" s="137"/>
      <c r="I61" s="137"/>
      <c r="J61" s="137"/>
      <c r="K61" s="137"/>
      <c r="L61" s="138"/>
      <c r="M61" s="10"/>
      <c r="O61" s="10" t="str">
        <f>"Account 2 - "&amp;Pro!C120</f>
        <v xml:space="preserve">Account 2 - </v>
      </c>
      <c r="P61" s="10" t="str">
        <f>"Client 2 - "&amp;Pro!C120</f>
        <v xml:space="preserve">Client 2 - </v>
      </c>
    </row>
    <row r="62" spans="1:16" x14ac:dyDescent="0.25">
      <c r="B62" s="747" t="str">
        <f>D$32</f>
        <v>valeur de vente nette rendue (CAD)</v>
      </c>
      <c r="C62" s="748"/>
      <c r="D62" s="748"/>
      <c r="E62" s="137"/>
      <c r="F62" s="137"/>
      <c r="G62" s="137"/>
      <c r="H62" s="137"/>
      <c r="I62" s="137"/>
      <c r="J62" s="137"/>
      <c r="K62" s="137"/>
      <c r="L62" s="138"/>
      <c r="M62" s="10"/>
    </row>
    <row r="63" spans="1:16" x14ac:dyDescent="0.25">
      <c r="B63" s="747" t="str">
        <f>D$33</f>
        <v>$ / tonne</v>
      </c>
      <c r="C63" s="748"/>
      <c r="D63" s="748"/>
      <c r="E63" s="151" t="str">
        <f>IF(E61=0,"-",E62/E61)</f>
        <v>-</v>
      </c>
      <c r="F63" s="151" t="str">
        <f t="shared" ref="F63:L63" si="8">IF(F61=0,"-",F62/F61)</f>
        <v>-</v>
      </c>
      <c r="G63" s="151" t="str">
        <f t="shared" si="8"/>
        <v>-</v>
      </c>
      <c r="H63" s="151" t="str">
        <f t="shared" si="8"/>
        <v>-</v>
      </c>
      <c r="I63" s="151" t="str">
        <f t="shared" si="8"/>
        <v>-</v>
      </c>
      <c r="J63" s="151" t="str">
        <f t="shared" si="8"/>
        <v>-</v>
      </c>
      <c r="K63" s="151" t="str">
        <f t="shared" si="8"/>
        <v>-</v>
      </c>
      <c r="L63" s="152" t="str">
        <f t="shared" si="8"/>
        <v>-</v>
      </c>
      <c r="M63" s="10"/>
    </row>
    <row r="64" spans="1:16" x14ac:dyDescent="0.25">
      <c r="B64" s="733" t="str">
        <f>IF(Intro!$G$20="English",O65,P65)</f>
        <v xml:space="preserve">Client 3 - </v>
      </c>
      <c r="C64" s="734"/>
      <c r="D64" s="734"/>
      <c r="E64" s="734"/>
      <c r="F64" s="734"/>
      <c r="G64" s="734"/>
      <c r="H64" s="734"/>
      <c r="I64" s="734"/>
      <c r="J64" s="734"/>
      <c r="K64" s="734"/>
      <c r="L64" s="735"/>
      <c r="M64" s="10"/>
    </row>
    <row r="65" spans="2:19" x14ac:dyDescent="0.25">
      <c r="B65" s="747" t="str">
        <f>D$31</f>
        <v>tonnes</v>
      </c>
      <c r="C65" s="748"/>
      <c r="D65" s="748"/>
      <c r="E65" s="137"/>
      <c r="F65" s="137"/>
      <c r="G65" s="137"/>
      <c r="H65" s="137"/>
      <c r="I65" s="137"/>
      <c r="J65" s="137"/>
      <c r="K65" s="137"/>
      <c r="L65" s="138"/>
      <c r="M65" s="10"/>
      <c r="O65" s="10" t="str">
        <f>"Account 3 - "&amp;Pro!C121</f>
        <v xml:space="preserve">Account 3 - </v>
      </c>
      <c r="P65" s="10" t="str">
        <f>"Client 3 - "&amp;Pro!C121</f>
        <v xml:space="preserve">Client 3 - </v>
      </c>
    </row>
    <row r="66" spans="2:19" x14ac:dyDescent="0.25">
      <c r="B66" s="747" t="str">
        <f>D$32</f>
        <v>valeur de vente nette rendue (CAD)</v>
      </c>
      <c r="C66" s="748"/>
      <c r="D66" s="748"/>
      <c r="E66" s="137"/>
      <c r="F66" s="137"/>
      <c r="G66" s="137"/>
      <c r="H66" s="137"/>
      <c r="I66" s="137"/>
      <c r="J66" s="137"/>
      <c r="K66" s="137"/>
      <c r="L66" s="138"/>
      <c r="M66" s="10"/>
    </row>
    <row r="67" spans="2:19" x14ac:dyDescent="0.25">
      <c r="B67" s="747" t="str">
        <f>D$33</f>
        <v>$ / tonne</v>
      </c>
      <c r="C67" s="748"/>
      <c r="D67" s="748"/>
      <c r="E67" s="151" t="str">
        <f>IF(E65=0,"-",E66/E65)</f>
        <v>-</v>
      </c>
      <c r="F67" s="151" t="str">
        <f t="shared" ref="F67:L67" si="9">IF(F65=0,"-",F66/F65)</f>
        <v>-</v>
      </c>
      <c r="G67" s="151" t="str">
        <f t="shared" si="9"/>
        <v>-</v>
      </c>
      <c r="H67" s="151" t="str">
        <f t="shared" si="9"/>
        <v>-</v>
      </c>
      <c r="I67" s="151" t="str">
        <f t="shared" si="9"/>
        <v>-</v>
      </c>
      <c r="J67" s="151" t="str">
        <f t="shared" si="9"/>
        <v>-</v>
      </c>
      <c r="K67" s="151" t="str">
        <f t="shared" si="9"/>
        <v>-</v>
      </c>
      <c r="L67" s="152" t="str">
        <f t="shared" si="9"/>
        <v>-</v>
      </c>
      <c r="M67" s="10"/>
    </row>
    <row r="68" spans="2:19" x14ac:dyDescent="0.25">
      <c r="B68" s="733" t="str">
        <f>IF(Intro!$G$20="English",O69,P69)</f>
        <v xml:space="preserve">Client 4 - </v>
      </c>
      <c r="C68" s="734"/>
      <c r="D68" s="734"/>
      <c r="E68" s="734"/>
      <c r="F68" s="734"/>
      <c r="G68" s="734"/>
      <c r="H68" s="734"/>
      <c r="I68" s="734"/>
      <c r="J68" s="734"/>
      <c r="K68" s="734"/>
      <c r="L68" s="735"/>
      <c r="M68" s="10"/>
    </row>
    <row r="69" spans="2:19" x14ac:dyDescent="0.25">
      <c r="B69" s="747" t="str">
        <f>D$31</f>
        <v>tonnes</v>
      </c>
      <c r="C69" s="748"/>
      <c r="D69" s="748"/>
      <c r="E69" s="137"/>
      <c r="F69" s="137"/>
      <c r="G69" s="137"/>
      <c r="H69" s="137"/>
      <c r="I69" s="137"/>
      <c r="J69" s="137"/>
      <c r="K69" s="137"/>
      <c r="L69" s="138"/>
      <c r="M69" s="10"/>
      <c r="O69" s="10" t="str">
        <f>"Account 4 - "&amp;Pro!C122</f>
        <v xml:space="preserve">Account 4 - </v>
      </c>
      <c r="P69" s="10" t="str">
        <f>"Client 4 - "&amp;Pro!C122</f>
        <v xml:space="preserve">Client 4 - </v>
      </c>
    </row>
    <row r="70" spans="2:19" x14ac:dyDescent="0.25">
      <c r="B70" s="747" t="str">
        <f>D$32</f>
        <v>valeur de vente nette rendue (CAD)</v>
      </c>
      <c r="C70" s="748"/>
      <c r="D70" s="748"/>
      <c r="E70" s="137"/>
      <c r="F70" s="137"/>
      <c r="G70" s="137"/>
      <c r="H70" s="137"/>
      <c r="I70" s="137"/>
      <c r="J70" s="137"/>
      <c r="K70" s="137"/>
      <c r="L70" s="138"/>
      <c r="M70" s="10"/>
    </row>
    <row r="71" spans="2:19" x14ac:dyDescent="0.25">
      <c r="B71" s="747" t="str">
        <f>D$33</f>
        <v>$ / tonne</v>
      </c>
      <c r="C71" s="748"/>
      <c r="D71" s="748"/>
      <c r="E71" s="151" t="str">
        <f>IF(E69=0,"-",E70/E69)</f>
        <v>-</v>
      </c>
      <c r="F71" s="151" t="str">
        <f t="shared" ref="F71:L71" si="10">IF(F69=0,"-",F70/F69)</f>
        <v>-</v>
      </c>
      <c r="G71" s="151" t="str">
        <f t="shared" si="10"/>
        <v>-</v>
      </c>
      <c r="H71" s="151" t="str">
        <f t="shared" si="10"/>
        <v>-</v>
      </c>
      <c r="I71" s="151" t="str">
        <f t="shared" si="10"/>
        <v>-</v>
      </c>
      <c r="J71" s="151" t="str">
        <f t="shared" si="10"/>
        <v>-</v>
      </c>
      <c r="K71" s="151" t="str">
        <f t="shared" si="10"/>
        <v>-</v>
      </c>
      <c r="L71" s="152" t="str">
        <f t="shared" si="10"/>
        <v>-</v>
      </c>
      <c r="M71" s="10"/>
    </row>
    <row r="72" spans="2:19" x14ac:dyDescent="0.25">
      <c r="B72" s="733" t="str">
        <f>IF(Intro!$G$20="English",O73,P73)</f>
        <v xml:space="preserve">Client 5 - </v>
      </c>
      <c r="C72" s="734"/>
      <c r="D72" s="734"/>
      <c r="E72" s="734"/>
      <c r="F72" s="734"/>
      <c r="G72" s="734"/>
      <c r="H72" s="734"/>
      <c r="I72" s="734"/>
      <c r="J72" s="734"/>
      <c r="K72" s="734"/>
      <c r="L72" s="735"/>
      <c r="M72" s="10"/>
    </row>
    <row r="73" spans="2:19" x14ac:dyDescent="0.25">
      <c r="B73" s="747" t="str">
        <f>D$31</f>
        <v>tonnes</v>
      </c>
      <c r="C73" s="748"/>
      <c r="D73" s="748"/>
      <c r="E73" s="137"/>
      <c r="F73" s="137"/>
      <c r="G73" s="137"/>
      <c r="H73" s="137"/>
      <c r="I73" s="137"/>
      <c r="J73" s="137"/>
      <c r="K73" s="137"/>
      <c r="L73" s="138"/>
      <c r="M73" s="10"/>
      <c r="O73" s="10" t="str">
        <f>"Account 5 - "&amp;Pro!C123</f>
        <v xml:space="preserve">Account 5 - </v>
      </c>
      <c r="P73" s="10" t="str">
        <f>"Client 5 - "&amp;Pro!C123</f>
        <v xml:space="preserve">Client 5 - </v>
      </c>
    </row>
    <row r="74" spans="2:19" x14ac:dyDescent="0.25">
      <c r="B74" s="747" t="str">
        <f>D$32</f>
        <v>valeur de vente nette rendue (CAD)</v>
      </c>
      <c r="C74" s="748"/>
      <c r="D74" s="748"/>
      <c r="E74" s="137"/>
      <c r="F74" s="137"/>
      <c r="G74" s="137"/>
      <c r="H74" s="137"/>
      <c r="I74" s="137"/>
      <c r="J74" s="137"/>
      <c r="K74" s="137"/>
      <c r="L74" s="138"/>
      <c r="M74" s="10"/>
    </row>
    <row r="75" spans="2:19" x14ac:dyDescent="0.25">
      <c r="B75" s="747" t="str">
        <f>D$33</f>
        <v>$ / tonne</v>
      </c>
      <c r="C75" s="748"/>
      <c r="D75" s="748"/>
      <c r="E75" s="151" t="str">
        <f>IF(E73=0,"-",E74/E73)</f>
        <v>-</v>
      </c>
      <c r="F75" s="151" t="str">
        <f t="shared" ref="F75:L75" si="11">IF(F73=0,"-",F74/F73)</f>
        <v>-</v>
      </c>
      <c r="G75" s="151" t="str">
        <f t="shared" si="11"/>
        <v>-</v>
      </c>
      <c r="H75" s="151" t="str">
        <f t="shared" si="11"/>
        <v>-</v>
      </c>
      <c r="I75" s="151" t="str">
        <f t="shared" si="11"/>
        <v>-</v>
      </c>
      <c r="J75" s="151" t="str">
        <f t="shared" si="11"/>
        <v>-</v>
      </c>
      <c r="K75" s="151" t="str">
        <f t="shared" si="11"/>
        <v>-</v>
      </c>
      <c r="L75" s="152" t="str">
        <f t="shared" si="11"/>
        <v>-</v>
      </c>
      <c r="M75" s="10"/>
    </row>
    <row r="76" spans="2:19" x14ac:dyDescent="0.25">
      <c r="B76" s="316"/>
      <c r="C76" s="317"/>
      <c r="D76" s="317"/>
      <c r="E76" s="29"/>
      <c r="F76" s="29"/>
      <c r="G76" s="29"/>
      <c r="H76" s="29"/>
      <c r="I76" s="29"/>
      <c r="J76" s="29"/>
      <c r="K76" s="29"/>
      <c r="L76" s="30"/>
      <c r="M76" s="10"/>
    </row>
    <row r="77" spans="2:19" x14ac:dyDescent="0.25">
      <c r="B77" s="530" t="str">
        <f>IF(Intro!$G$20="English",O77,P77)</f>
        <v>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v>
      </c>
      <c r="C77" s="531"/>
      <c r="D77" s="531"/>
      <c r="E77" s="531"/>
      <c r="F77" s="531"/>
      <c r="G77" s="531"/>
      <c r="H77" s="531"/>
      <c r="I77" s="531"/>
      <c r="J77" s="531"/>
      <c r="K77" s="531"/>
      <c r="L77" s="532"/>
      <c r="M77" s="10"/>
      <c r="O77" s="10" t="s">
        <v>359</v>
      </c>
      <c r="P77" s="10" t="s">
        <v>360</v>
      </c>
      <c r="S77" s="38"/>
    </row>
    <row r="78" spans="2:19" x14ac:dyDescent="0.25">
      <c r="B78" s="530"/>
      <c r="C78" s="531"/>
      <c r="D78" s="531"/>
      <c r="E78" s="531"/>
      <c r="F78" s="531"/>
      <c r="G78" s="531"/>
      <c r="H78" s="531"/>
      <c r="I78" s="531"/>
      <c r="J78" s="531"/>
      <c r="K78" s="531"/>
      <c r="L78" s="532"/>
      <c r="M78" s="10"/>
      <c r="S78" s="38"/>
    </row>
    <row r="79" spans="2:19" x14ac:dyDescent="0.25">
      <c r="B79" s="316"/>
      <c r="C79" s="317"/>
      <c r="D79" s="317"/>
      <c r="E79" s="29"/>
      <c r="F79" s="29"/>
      <c r="G79" s="29"/>
      <c r="H79" s="29"/>
      <c r="I79" s="29"/>
      <c r="J79" s="29"/>
      <c r="K79" s="29"/>
      <c r="L79" s="30"/>
      <c r="M79" s="10"/>
      <c r="S79" s="38"/>
    </row>
    <row r="80" spans="2:19" ht="14.1" customHeight="1" x14ac:dyDescent="0.25">
      <c r="B80" s="753" t="str">
        <f>Variables!D66</f>
        <v>Vérification - volume</v>
      </c>
      <c r="C80" s="644"/>
      <c r="D80" s="644"/>
      <c r="E80" s="644"/>
      <c r="F80" s="645"/>
      <c r="G80" s="320">
        <f>H80-1</f>
        <v>2024</v>
      </c>
      <c r="H80" s="320">
        <f>Variables!B8-1</f>
        <v>2025</v>
      </c>
      <c r="I80" s="320" t="str">
        <f>J24</f>
        <v>janv.-mars 2025</v>
      </c>
      <c r="J80" s="320" t="str">
        <f>K24</f>
        <v>janv.-mars 2026</v>
      </c>
      <c r="K80" s="225"/>
      <c r="L80" s="226"/>
      <c r="M80" s="10"/>
      <c r="O80" s="10" t="s">
        <v>379</v>
      </c>
      <c r="P80" s="10" t="s">
        <v>380</v>
      </c>
    </row>
    <row r="81" spans="1:16" ht="14.1" customHeight="1" x14ac:dyDescent="0.25">
      <c r="B81" s="757" t="str">
        <f>D31</f>
        <v>tonnes</v>
      </c>
      <c r="C81" s="758"/>
      <c r="D81" s="758"/>
      <c r="E81" s="758"/>
      <c r="F81" s="759"/>
      <c r="G81" s="187" t="str">
        <f>IF(SUM(E57:G57,E61:G61,E65:G65,E69:G69,E73:G73)&gt;H44,Variables!$D$67,Variables!$D$68)</f>
        <v>Correct</v>
      </c>
      <c r="H81" s="187" t="str">
        <f>IF(SUM(H57:K57,H61:K61,H65:K65,H69:K69,H73:K73)&gt;I44,Variables!$D$67,Variables!$D$68)</f>
        <v>Correct</v>
      </c>
      <c r="I81" s="187" t="str">
        <f>IF(SUM(H57,H61,H65,H69,H73)&gt;J44,Variables!$D$67,Variables!$D$68)</f>
        <v>Correct</v>
      </c>
      <c r="J81" s="187" t="str">
        <f>IF(SUM(L57,L61,L65,L69,L73)&gt;K44,Variables!$D$67,Variables!$D$68)</f>
        <v>Correct</v>
      </c>
      <c r="K81" s="225"/>
      <c r="L81" s="226"/>
      <c r="M81" s="10"/>
    </row>
    <row r="82" spans="1:16" ht="26.25" customHeight="1" x14ac:dyDescent="0.25">
      <c r="B82" s="754" t="str">
        <f>IF(Intro!$G$20="English",O82,P82)</f>
        <v>volume - total des ventes au Canada d'importations aux cinq principaux clients (Question 2)</v>
      </c>
      <c r="C82" s="755"/>
      <c r="D82" s="755"/>
      <c r="E82" s="755"/>
      <c r="F82" s="756"/>
      <c r="G82" s="187">
        <f>SUM(E57:G57,E61:G61,E65:G65,E69:G69,E73:G73)</f>
        <v>0</v>
      </c>
      <c r="H82" s="187">
        <f>SUM(H57:K57,H61:K61,H65:K65,H69:K69,H73:K73)</f>
        <v>0</v>
      </c>
      <c r="I82" s="187">
        <f>SUM(H57,H61,H65,H69,H73)</f>
        <v>0</v>
      </c>
      <c r="J82" s="187">
        <f>SUM(L57,L61,L65,L69,L73)</f>
        <v>0</v>
      </c>
      <c r="K82" s="225"/>
      <c r="L82" s="226"/>
      <c r="M82" s="10"/>
      <c r="O82" s="73" t="s">
        <v>439</v>
      </c>
      <c r="P82" s="10" t="s">
        <v>441</v>
      </c>
    </row>
    <row r="83" spans="1:16" ht="14.1" customHeight="1" x14ac:dyDescent="0.25">
      <c r="B83" s="754" t="str">
        <f>IF(Intro!$G$20="English",O83,P83)</f>
        <v>volume - total des ventes au Canada d'importations (Question 1)</v>
      </c>
      <c r="C83" s="755"/>
      <c r="D83" s="755"/>
      <c r="E83" s="755"/>
      <c r="F83" s="756"/>
      <c r="G83" s="187">
        <f>H44</f>
        <v>0</v>
      </c>
      <c r="H83" s="187">
        <f>I44</f>
        <v>0</v>
      </c>
      <c r="I83" s="187">
        <f>J44</f>
        <v>0</v>
      </c>
      <c r="J83" s="187">
        <f>K44</f>
        <v>0</v>
      </c>
      <c r="K83" s="225"/>
      <c r="L83" s="226"/>
      <c r="M83" s="10"/>
      <c r="O83" s="10" t="s">
        <v>440</v>
      </c>
      <c r="P83" s="10" t="s">
        <v>442</v>
      </c>
    </row>
    <row r="84" spans="1:16" ht="14.1" customHeight="1" x14ac:dyDescent="0.25">
      <c r="B84" s="760" t="str">
        <f>Variables!D70</f>
        <v>Vérification - valeur</v>
      </c>
      <c r="C84" s="761"/>
      <c r="D84" s="761"/>
      <c r="E84" s="761"/>
      <c r="F84" s="762"/>
      <c r="G84" s="320">
        <f>G80</f>
        <v>2024</v>
      </c>
      <c r="H84" s="320">
        <f>H80</f>
        <v>2025</v>
      </c>
      <c r="I84" s="320" t="str">
        <f>I80</f>
        <v>janv.-mars 2025</v>
      </c>
      <c r="J84" s="320" t="str">
        <f>J80</f>
        <v>janv.-mars 2026</v>
      </c>
      <c r="K84" s="225"/>
      <c r="L84" s="226"/>
      <c r="M84" s="10"/>
    </row>
    <row r="85" spans="1:16" ht="14.1" customHeight="1" x14ac:dyDescent="0.25">
      <c r="B85" s="783" t="str">
        <f>D32</f>
        <v>valeur de vente nette rendue (CAD)</v>
      </c>
      <c r="C85" s="784"/>
      <c r="D85" s="784"/>
      <c r="E85" s="784"/>
      <c r="F85" s="785"/>
      <c r="G85" s="187" t="str">
        <f>IF(SUM(E58:G58,E62:G62,E66:G66,E70:G70,E74:G74)&gt;H45,Variables!$D$67,Variables!$D$68)</f>
        <v>Correct</v>
      </c>
      <c r="H85" s="187" t="str">
        <f>IF(SUM(H58:K58,H62:K62,H66:K66,H70:K70,H74:K74)&gt;I45,Variables!$D$67,Variables!$D$68)</f>
        <v>Correct</v>
      </c>
      <c r="I85" s="187" t="str">
        <f>IF(SUM(H58,H62,H66,H70,H74)&gt;J45,Variables!$D$67,Variables!$D$68)</f>
        <v>Correct</v>
      </c>
      <c r="J85" s="187" t="str">
        <f>IF(SUM(L58,L62,L66,L70,L74)&gt;K45,Variables!$D$67,Variables!$D$68)</f>
        <v>Correct</v>
      </c>
      <c r="K85" s="225"/>
      <c r="L85" s="226"/>
      <c r="M85" s="10"/>
    </row>
    <row r="86" spans="1:16" ht="14.1" customHeight="1" x14ac:dyDescent="0.25">
      <c r="B86" s="786" t="str">
        <f>IF(Intro!$G$20="English",O86,P86)</f>
        <v>valeur - total des ventes au Canada d'importations aux cinq principaux clients (Question 2)</v>
      </c>
      <c r="C86" s="787"/>
      <c r="D86" s="787"/>
      <c r="E86" s="787"/>
      <c r="F86" s="788"/>
      <c r="G86" s="187">
        <f>SUM(E58:G58,E62:G62,E66:G66,E70:G70,E74:G74)</f>
        <v>0</v>
      </c>
      <c r="H86" s="187">
        <f>SUM(H58:K58,H62:K62,H66:K66,H70:K70,H74:K74)</f>
        <v>0</v>
      </c>
      <c r="I86" s="187">
        <f>SUM(H58,H62,H66,H70,H74)</f>
        <v>0</v>
      </c>
      <c r="J86" s="187">
        <f>SUM(L58,L62,L66,L70,L74)</f>
        <v>0</v>
      </c>
      <c r="K86" s="225"/>
      <c r="L86" s="226"/>
      <c r="M86" s="10"/>
      <c r="O86" s="73" t="s">
        <v>445</v>
      </c>
      <c r="P86" s="10" t="s">
        <v>443</v>
      </c>
    </row>
    <row r="87" spans="1:16" ht="14.1" customHeight="1" x14ac:dyDescent="0.25">
      <c r="B87" s="786" t="str">
        <f>IF(Intro!$G$20="English",O87,P87)</f>
        <v>valeur - total des ventes au Canada d'importations (Question 1)</v>
      </c>
      <c r="C87" s="787"/>
      <c r="D87" s="787"/>
      <c r="E87" s="787"/>
      <c r="F87" s="788"/>
      <c r="G87" s="187">
        <f>H45</f>
        <v>0</v>
      </c>
      <c r="H87" s="187">
        <f>I45</f>
        <v>0</v>
      </c>
      <c r="I87" s="187">
        <f>J45</f>
        <v>0</v>
      </c>
      <c r="J87" s="187">
        <f>K45</f>
        <v>0</v>
      </c>
      <c r="K87" s="225"/>
      <c r="L87" s="226"/>
      <c r="M87" s="10"/>
      <c r="O87" s="10" t="s">
        <v>446</v>
      </c>
      <c r="P87" s="10" t="s">
        <v>444</v>
      </c>
    </row>
    <row r="88" spans="1:16" x14ac:dyDescent="0.25">
      <c r="B88" s="72"/>
      <c r="C88" s="82"/>
      <c r="D88" s="82"/>
      <c r="E88" s="82"/>
      <c r="F88" s="82"/>
      <c r="G88" s="82"/>
      <c r="H88" s="82"/>
      <c r="I88" s="82"/>
      <c r="J88" s="164"/>
      <c r="K88" s="164"/>
      <c r="L88" s="165"/>
      <c r="M88" s="10"/>
    </row>
    <row r="89" spans="1:16" s="207" customFormat="1" x14ac:dyDescent="0.25">
      <c r="A89" s="7"/>
      <c r="B89" s="31"/>
      <c r="C89" s="31"/>
      <c r="D89" s="89"/>
      <c r="E89" s="319"/>
      <c r="F89" s="319"/>
      <c r="G89" s="319"/>
      <c r="H89" s="319"/>
      <c r="I89" s="319"/>
      <c r="J89" s="319"/>
      <c r="K89" s="319"/>
      <c r="L89" s="319"/>
      <c r="M89" s="73"/>
    </row>
    <row r="90" spans="1:16" x14ac:dyDescent="0.25">
      <c r="B90" s="533" t="str">
        <f>IF(Intro!$G$20="English",O90,P90)</f>
        <v>IMPORTATIONS DE PRODUITS DE RÉFÉRENCE</v>
      </c>
      <c r="C90" s="534"/>
      <c r="D90" s="534"/>
      <c r="E90" s="534"/>
      <c r="F90" s="534"/>
      <c r="G90" s="534"/>
      <c r="H90" s="534"/>
      <c r="I90" s="534"/>
      <c r="J90" s="534"/>
      <c r="K90" s="534"/>
      <c r="L90" s="535"/>
      <c r="M90" s="10"/>
      <c r="O90" s="105" t="s">
        <v>332</v>
      </c>
      <c r="P90" s="105" t="s">
        <v>398</v>
      </c>
    </row>
    <row r="91" spans="1:16" x14ac:dyDescent="0.25">
      <c r="B91" s="671" t="s">
        <v>16</v>
      </c>
      <c r="C91" s="672"/>
      <c r="D91" s="672"/>
      <c r="E91" s="672"/>
      <c r="F91" s="672"/>
      <c r="G91" s="672"/>
      <c r="H91" s="672"/>
      <c r="I91" s="672"/>
      <c r="J91" s="672"/>
      <c r="K91" s="672"/>
      <c r="L91" s="673"/>
      <c r="M91" s="10"/>
    </row>
    <row r="92" spans="1:16" x14ac:dyDescent="0.25">
      <c r="B92" s="16"/>
      <c r="C92" s="35"/>
      <c r="D92" s="35"/>
      <c r="E92" s="36"/>
      <c r="F92" s="36"/>
      <c r="G92" s="36"/>
      <c r="H92" s="36"/>
      <c r="I92" s="36"/>
      <c r="J92" s="36"/>
      <c r="K92" s="36"/>
      <c r="L92" s="17"/>
      <c r="M92" s="10"/>
    </row>
    <row r="93" spans="1:16" x14ac:dyDescent="0.25">
      <c r="B93" s="530" t="str">
        <f>IF(Intro!$G$20="English",O93,P93)</f>
        <v>Indiquez le volume et la valeur des importations pour chaque produit de référence :</v>
      </c>
      <c r="C93" s="531"/>
      <c r="D93" s="531"/>
      <c r="E93" s="531"/>
      <c r="F93" s="531"/>
      <c r="G93" s="531"/>
      <c r="H93" s="531"/>
      <c r="I93" s="531"/>
      <c r="J93" s="531"/>
      <c r="K93" s="531"/>
      <c r="L93" s="532"/>
      <c r="M93" s="10"/>
      <c r="O93" s="18" t="s">
        <v>192</v>
      </c>
      <c r="P93" s="10" t="s">
        <v>193</v>
      </c>
    </row>
    <row r="94" spans="1:16" x14ac:dyDescent="0.25">
      <c r="B94" s="316"/>
      <c r="C94" s="317"/>
      <c r="D94" s="35"/>
      <c r="E94" s="36"/>
      <c r="F94" s="36"/>
      <c r="G94" s="36"/>
      <c r="H94" s="36"/>
      <c r="I94" s="36"/>
      <c r="J94" s="36"/>
      <c r="K94" s="36"/>
      <c r="L94" s="17"/>
      <c r="M94" s="10"/>
      <c r="O94" s="18"/>
    </row>
    <row r="95" spans="1:16" x14ac:dyDescent="0.25">
      <c r="B95" s="772"/>
      <c r="C95" s="773"/>
      <c r="D95" s="774"/>
      <c r="E95" s="320" t="str">
        <f t="shared" ref="E95:L95" si="12">E55</f>
        <v>T2 - 2024</v>
      </c>
      <c r="F95" s="320" t="str">
        <f t="shared" si="12"/>
        <v>T3 - 2024</v>
      </c>
      <c r="G95" s="320" t="str">
        <f t="shared" si="12"/>
        <v>T4 - 2024</v>
      </c>
      <c r="H95" s="320" t="str">
        <f t="shared" si="12"/>
        <v>T1 - 2025</v>
      </c>
      <c r="I95" s="320" t="str">
        <f t="shared" si="12"/>
        <v>T2 - 2025</v>
      </c>
      <c r="J95" s="320" t="str">
        <f t="shared" si="12"/>
        <v>T3 - 2025</v>
      </c>
      <c r="K95" s="320" t="str">
        <f t="shared" si="12"/>
        <v>T4 - 2025</v>
      </c>
      <c r="L95" s="321" t="str">
        <f t="shared" si="12"/>
        <v>T1 - 2026</v>
      </c>
      <c r="M95" s="10"/>
      <c r="O95" s="18"/>
    </row>
    <row r="96" spans="1:16" x14ac:dyDescent="0.25">
      <c r="B96" s="768" t="str">
        <f>IF(Intro!$G$20="English",Variables!B30,Variables!C30)</f>
        <v xml:space="preserve">Tubage sans soudure L80 (y compris les améliorations) avec raccord API </v>
      </c>
      <c r="C96" s="641"/>
      <c r="D96" s="641"/>
      <c r="E96" s="641"/>
      <c r="F96" s="641"/>
      <c r="G96" s="641"/>
      <c r="H96" s="641"/>
      <c r="I96" s="641"/>
      <c r="J96" s="641"/>
      <c r="K96" s="641"/>
      <c r="L96" s="769"/>
      <c r="M96" s="10"/>
    </row>
    <row r="97" spans="2:13" x14ac:dyDescent="0.25">
      <c r="B97" s="770"/>
      <c r="C97" s="647"/>
      <c r="D97" s="647"/>
      <c r="E97" s="647"/>
      <c r="F97" s="647"/>
      <c r="G97" s="647"/>
      <c r="H97" s="647"/>
      <c r="I97" s="647"/>
      <c r="J97" s="647"/>
      <c r="K97" s="647"/>
      <c r="L97" s="771"/>
      <c r="M97" s="10"/>
    </row>
    <row r="98" spans="2:13" x14ac:dyDescent="0.25">
      <c r="B98" s="747" t="str">
        <f>D$26</f>
        <v>tonnes</v>
      </c>
      <c r="C98" s="748"/>
      <c r="D98" s="748"/>
      <c r="E98" s="137"/>
      <c r="F98" s="137"/>
      <c r="G98" s="137"/>
      <c r="H98" s="137"/>
      <c r="I98" s="137"/>
      <c r="J98" s="137"/>
      <c r="K98" s="137"/>
      <c r="L98" s="138"/>
      <c r="M98" s="10"/>
    </row>
    <row r="99" spans="2:13" x14ac:dyDescent="0.25">
      <c r="B99" s="747" t="str">
        <f>D$27</f>
        <v>valeur d'achat nette rendue (CAD)</v>
      </c>
      <c r="C99" s="748"/>
      <c r="D99" s="748"/>
      <c r="E99" s="137"/>
      <c r="F99" s="137"/>
      <c r="G99" s="137"/>
      <c r="H99" s="137"/>
      <c r="I99" s="137"/>
      <c r="J99" s="137"/>
      <c r="K99" s="137"/>
      <c r="L99" s="138"/>
      <c r="M99" s="10"/>
    </row>
    <row r="100" spans="2:13" x14ac:dyDescent="0.25">
      <c r="B100" s="747" t="str">
        <f>D$28</f>
        <v>$ / tonne</v>
      </c>
      <c r="C100" s="748"/>
      <c r="D100" s="748"/>
      <c r="E100" s="151" t="str">
        <f t="shared" ref="E100:L100" si="13">IF(E98=0,"-",E99/E98)</f>
        <v>-</v>
      </c>
      <c r="F100" s="151" t="str">
        <f t="shared" si="13"/>
        <v>-</v>
      </c>
      <c r="G100" s="151" t="str">
        <f t="shared" si="13"/>
        <v>-</v>
      </c>
      <c r="H100" s="151" t="str">
        <f t="shared" si="13"/>
        <v>-</v>
      </c>
      <c r="I100" s="151" t="str">
        <f t="shared" si="13"/>
        <v>-</v>
      </c>
      <c r="J100" s="151" t="str">
        <f t="shared" si="13"/>
        <v>-</v>
      </c>
      <c r="K100" s="151" t="str">
        <f t="shared" si="13"/>
        <v>-</v>
      </c>
      <c r="L100" s="152" t="str">
        <f t="shared" si="13"/>
        <v>-</v>
      </c>
      <c r="M100" s="10"/>
    </row>
    <row r="101" spans="2:13" x14ac:dyDescent="0.25">
      <c r="B101" s="768" t="str">
        <f>IF(Intro!$G$20="English",Variables!B31,Variables!C31)</f>
        <v>Tubage soudé L80 (y compris les améliorations) avec raccord API</v>
      </c>
      <c r="C101" s="641"/>
      <c r="D101" s="641"/>
      <c r="E101" s="641"/>
      <c r="F101" s="641"/>
      <c r="G101" s="641"/>
      <c r="H101" s="641"/>
      <c r="I101" s="641"/>
      <c r="J101" s="641"/>
      <c r="K101" s="641"/>
      <c r="L101" s="769"/>
      <c r="M101" s="10"/>
    </row>
    <row r="102" spans="2:13" x14ac:dyDescent="0.25">
      <c r="B102" s="770"/>
      <c r="C102" s="647"/>
      <c r="D102" s="647"/>
      <c r="E102" s="647"/>
      <c r="F102" s="647"/>
      <c r="G102" s="647"/>
      <c r="H102" s="647"/>
      <c r="I102" s="647"/>
      <c r="J102" s="647"/>
      <c r="K102" s="647"/>
      <c r="L102" s="771"/>
      <c r="M102" s="10"/>
    </row>
    <row r="103" spans="2:13" x14ac:dyDescent="0.25">
      <c r="B103" s="747" t="str">
        <f>D$26</f>
        <v>tonnes</v>
      </c>
      <c r="C103" s="748"/>
      <c r="D103" s="748"/>
      <c r="E103" s="137"/>
      <c r="F103" s="137"/>
      <c r="G103" s="137"/>
      <c r="H103" s="137"/>
      <c r="I103" s="137"/>
      <c r="J103" s="137"/>
      <c r="K103" s="137"/>
      <c r="L103" s="138"/>
      <c r="M103" s="10"/>
    </row>
    <row r="104" spans="2:13" x14ac:dyDescent="0.25">
      <c r="B104" s="747" t="str">
        <f>D$27</f>
        <v>valeur d'achat nette rendue (CAD)</v>
      </c>
      <c r="C104" s="748"/>
      <c r="D104" s="748"/>
      <c r="E104" s="137"/>
      <c r="F104" s="137"/>
      <c r="G104" s="137"/>
      <c r="H104" s="137"/>
      <c r="I104" s="137"/>
      <c r="J104" s="137"/>
      <c r="K104" s="137"/>
      <c r="L104" s="138"/>
      <c r="M104" s="10"/>
    </row>
    <row r="105" spans="2:13" x14ac:dyDescent="0.25">
      <c r="B105" s="747" t="str">
        <f>D$28</f>
        <v>$ / tonne</v>
      </c>
      <c r="C105" s="748"/>
      <c r="D105" s="748"/>
      <c r="E105" s="151" t="str">
        <f t="shared" ref="E105:L105" si="14">IF(E103=0,"-",E104/E103)</f>
        <v>-</v>
      </c>
      <c r="F105" s="151" t="str">
        <f t="shared" si="14"/>
        <v>-</v>
      </c>
      <c r="G105" s="151" t="str">
        <f t="shared" si="14"/>
        <v>-</v>
      </c>
      <c r="H105" s="151" t="str">
        <f t="shared" si="14"/>
        <v>-</v>
      </c>
      <c r="I105" s="151" t="str">
        <f t="shared" si="14"/>
        <v>-</v>
      </c>
      <c r="J105" s="151" t="str">
        <f t="shared" si="14"/>
        <v>-</v>
      </c>
      <c r="K105" s="151" t="str">
        <f t="shared" si="14"/>
        <v>-</v>
      </c>
      <c r="L105" s="152" t="str">
        <f t="shared" si="14"/>
        <v>-</v>
      </c>
      <c r="M105" s="10"/>
    </row>
    <row r="106" spans="2:13" x14ac:dyDescent="0.25">
      <c r="B106" s="768" t="str">
        <f>IF(Intro!$G$20="English",Variables!B32,Variables!C32)</f>
        <v xml:space="preserve">Tubage sans soudure L80 (y compris les améliorations) avec raccord de qualité semi-supérieure </v>
      </c>
      <c r="C106" s="641"/>
      <c r="D106" s="641"/>
      <c r="E106" s="641"/>
      <c r="F106" s="641"/>
      <c r="G106" s="641"/>
      <c r="H106" s="641"/>
      <c r="I106" s="641"/>
      <c r="J106" s="641"/>
      <c r="K106" s="641"/>
      <c r="L106" s="769"/>
      <c r="M106" s="10"/>
    </row>
    <row r="107" spans="2:13" x14ac:dyDescent="0.25">
      <c r="B107" s="770"/>
      <c r="C107" s="647"/>
      <c r="D107" s="647"/>
      <c r="E107" s="647"/>
      <c r="F107" s="647"/>
      <c r="G107" s="647"/>
      <c r="H107" s="647"/>
      <c r="I107" s="647"/>
      <c r="J107" s="647"/>
      <c r="K107" s="647"/>
      <c r="L107" s="771"/>
      <c r="M107" s="10"/>
    </row>
    <row r="108" spans="2:13" x14ac:dyDescent="0.25">
      <c r="B108" s="747" t="str">
        <f>D$26</f>
        <v>tonnes</v>
      </c>
      <c r="C108" s="748"/>
      <c r="D108" s="748"/>
      <c r="E108" s="137"/>
      <c r="F108" s="137"/>
      <c r="G108" s="137"/>
      <c r="H108" s="137"/>
      <c r="I108" s="137"/>
      <c r="J108" s="137"/>
      <c r="K108" s="137"/>
      <c r="L108" s="138"/>
      <c r="M108" s="10"/>
    </row>
    <row r="109" spans="2:13" x14ac:dyDescent="0.25">
      <c r="B109" s="747" t="str">
        <f>D$27</f>
        <v>valeur d'achat nette rendue (CAD)</v>
      </c>
      <c r="C109" s="748"/>
      <c r="D109" s="748"/>
      <c r="E109" s="137"/>
      <c r="F109" s="137"/>
      <c r="G109" s="137"/>
      <c r="H109" s="137"/>
      <c r="I109" s="137"/>
      <c r="J109" s="137"/>
      <c r="K109" s="137"/>
      <c r="L109" s="138"/>
      <c r="M109" s="10"/>
    </row>
    <row r="110" spans="2:13" x14ac:dyDescent="0.25">
      <c r="B110" s="747" t="str">
        <f>D$28</f>
        <v>$ / tonne</v>
      </c>
      <c r="C110" s="748"/>
      <c r="D110" s="748"/>
      <c r="E110" s="151" t="str">
        <f t="shared" ref="E110:L110" si="15">IF(E108=0,"-",E109/E108)</f>
        <v>-</v>
      </c>
      <c r="F110" s="151" t="str">
        <f t="shared" si="15"/>
        <v>-</v>
      </c>
      <c r="G110" s="151" t="str">
        <f t="shared" si="15"/>
        <v>-</v>
      </c>
      <c r="H110" s="151" t="str">
        <f t="shared" si="15"/>
        <v>-</v>
      </c>
      <c r="I110" s="151" t="str">
        <f t="shared" si="15"/>
        <v>-</v>
      </c>
      <c r="J110" s="151" t="str">
        <f t="shared" si="15"/>
        <v>-</v>
      </c>
      <c r="K110" s="151" t="str">
        <f t="shared" si="15"/>
        <v>-</v>
      </c>
      <c r="L110" s="152" t="str">
        <f t="shared" si="15"/>
        <v>-</v>
      </c>
      <c r="M110" s="10"/>
    </row>
    <row r="111" spans="2:13" x14ac:dyDescent="0.25">
      <c r="B111" s="768" t="str">
        <f>IF(Intro!$G$20="English",Variables!B33,Variables!C33)</f>
        <v xml:space="preserve">Tubage soudé L80 (y compris les améliorations) avec raccord de qualité semi-supérieure </v>
      </c>
      <c r="C111" s="641"/>
      <c r="D111" s="641"/>
      <c r="E111" s="641"/>
      <c r="F111" s="641"/>
      <c r="G111" s="641"/>
      <c r="H111" s="641"/>
      <c r="I111" s="641"/>
      <c r="J111" s="641"/>
      <c r="K111" s="641"/>
      <c r="L111" s="769"/>
      <c r="M111" s="10"/>
    </row>
    <row r="112" spans="2:13" x14ac:dyDescent="0.25">
      <c r="B112" s="770"/>
      <c r="C112" s="647"/>
      <c r="D112" s="647"/>
      <c r="E112" s="647"/>
      <c r="F112" s="647"/>
      <c r="G112" s="647"/>
      <c r="H112" s="647"/>
      <c r="I112" s="647"/>
      <c r="J112" s="647"/>
      <c r="K112" s="647"/>
      <c r="L112" s="771"/>
      <c r="M112" s="10"/>
    </row>
    <row r="113" spans="2:13" x14ac:dyDescent="0.25">
      <c r="B113" s="747" t="str">
        <f>D$26</f>
        <v>tonnes</v>
      </c>
      <c r="C113" s="748"/>
      <c r="D113" s="748"/>
      <c r="E113" s="137"/>
      <c r="F113" s="137"/>
      <c r="G113" s="137"/>
      <c r="H113" s="137"/>
      <c r="I113" s="137"/>
      <c r="J113" s="137"/>
      <c r="K113" s="137"/>
      <c r="L113" s="138"/>
      <c r="M113" s="10"/>
    </row>
    <row r="114" spans="2:13" x14ac:dyDescent="0.25">
      <c r="B114" s="747" t="str">
        <f>D$27</f>
        <v>valeur d'achat nette rendue (CAD)</v>
      </c>
      <c r="C114" s="748"/>
      <c r="D114" s="748"/>
      <c r="E114" s="137"/>
      <c r="F114" s="137"/>
      <c r="G114" s="137"/>
      <c r="H114" s="137"/>
      <c r="I114" s="137"/>
      <c r="J114" s="137"/>
      <c r="K114" s="137"/>
      <c r="L114" s="138"/>
      <c r="M114" s="10"/>
    </row>
    <row r="115" spans="2:13" x14ac:dyDescent="0.25">
      <c r="B115" s="747" t="str">
        <f>D$28</f>
        <v>$ / tonne</v>
      </c>
      <c r="C115" s="748"/>
      <c r="D115" s="748"/>
      <c r="E115" s="151" t="str">
        <f t="shared" ref="E115:L115" si="16">IF(E113=0,"-",E114/E113)</f>
        <v>-</v>
      </c>
      <c r="F115" s="151" t="str">
        <f t="shared" si="16"/>
        <v>-</v>
      </c>
      <c r="G115" s="151" t="str">
        <f t="shared" si="16"/>
        <v>-</v>
      </c>
      <c r="H115" s="151" t="str">
        <f t="shared" si="16"/>
        <v>-</v>
      </c>
      <c r="I115" s="151" t="str">
        <f t="shared" si="16"/>
        <v>-</v>
      </c>
      <c r="J115" s="151" t="str">
        <f t="shared" si="16"/>
        <v>-</v>
      </c>
      <c r="K115" s="151" t="str">
        <f t="shared" si="16"/>
        <v>-</v>
      </c>
      <c r="L115" s="152" t="str">
        <f t="shared" si="16"/>
        <v>-</v>
      </c>
      <c r="M115" s="10"/>
    </row>
    <row r="116" spans="2:13" x14ac:dyDescent="0.25">
      <c r="B116" s="768" t="str">
        <f>IF(Intro!$G$20="English",Variables!B34,Variables!C34)</f>
        <v xml:space="preserve">Tubage sans soudure P110 (y compris les améliorations) avec raccord API </v>
      </c>
      <c r="C116" s="641"/>
      <c r="D116" s="641"/>
      <c r="E116" s="641"/>
      <c r="F116" s="641"/>
      <c r="G116" s="641"/>
      <c r="H116" s="641"/>
      <c r="I116" s="641"/>
      <c r="J116" s="641"/>
      <c r="K116" s="641"/>
      <c r="L116" s="769"/>
      <c r="M116" s="10"/>
    </row>
    <row r="117" spans="2:13" x14ac:dyDescent="0.25">
      <c r="B117" s="770"/>
      <c r="C117" s="647"/>
      <c r="D117" s="647"/>
      <c r="E117" s="647"/>
      <c r="F117" s="647"/>
      <c r="G117" s="647"/>
      <c r="H117" s="647"/>
      <c r="I117" s="647"/>
      <c r="J117" s="647"/>
      <c r="K117" s="647"/>
      <c r="L117" s="771"/>
      <c r="M117" s="10"/>
    </row>
    <row r="118" spans="2:13" x14ac:dyDescent="0.25">
      <c r="B118" s="747" t="str">
        <f>D$26</f>
        <v>tonnes</v>
      </c>
      <c r="C118" s="748"/>
      <c r="D118" s="748"/>
      <c r="E118" s="137"/>
      <c r="F118" s="137"/>
      <c r="G118" s="137"/>
      <c r="H118" s="137"/>
      <c r="I118" s="137"/>
      <c r="J118" s="137"/>
      <c r="K118" s="137"/>
      <c r="L118" s="138"/>
      <c r="M118" s="10"/>
    </row>
    <row r="119" spans="2:13" x14ac:dyDescent="0.25">
      <c r="B119" s="747" t="str">
        <f>D$27</f>
        <v>valeur d'achat nette rendue (CAD)</v>
      </c>
      <c r="C119" s="748"/>
      <c r="D119" s="748"/>
      <c r="E119" s="137"/>
      <c r="F119" s="137"/>
      <c r="G119" s="137"/>
      <c r="H119" s="137"/>
      <c r="I119" s="137"/>
      <c r="J119" s="137"/>
      <c r="K119" s="137"/>
      <c r="L119" s="138"/>
      <c r="M119" s="10"/>
    </row>
    <row r="120" spans="2:13" x14ac:dyDescent="0.25">
      <c r="B120" s="747" t="str">
        <f>D$28</f>
        <v>$ / tonne</v>
      </c>
      <c r="C120" s="748"/>
      <c r="D120" s="748"/>
      <c r="E120" s="151" t="str">
        <f t="shared" ref="E120:L120" si="17">IF(E118=0,"-",E119/E118)</f>
        <v>-</v>
      </c>
      <c r="F120" s="151" t="str">
        <f t="shared" si="17"/>
        <v>-</v>
      </c>
      <c r="G120" s="151" t="str">
        <f t="shared" si="17"/>
        <v>-</v>
      </c>
      <c r="H120" s="151" t="str">
        <f t="shared" si="17"/>
        <v>-</v>
      </c>
      <c r="I120" s="151" t="str">
        <f t="shared" si="17"/>
        <v>-</v>
      </c>
      <c r="J120" s="151" t="str">
        <f t="shared" si="17"/>
        <v>-</v>
      </c>
      <c r="K120" s="151" t="str">
        <f t="shared" si="17"/>
        <v>-</v>
      </c>
      <c r="L120" s="152" t="str">
        <f t="shared" si="17"/>
        <v>-</v>
      </c>
      <c r="M120" s="10"/>
    </row>
    <row r="121" spans="2:13" x14ac:dyDescent="0.25">
      <c r="B121" s="768" t="str">
        <f>IF(Intro!$G$20="English",Variables!B35,Variables!C35)</f>
        <v xml:space="preserve">Tubage soudé P110 (y compris les améliorations) avec raccord API </v>
      </c>
      <c r="C121" s="641"/>
      <c r="D121" s="641"/>
      <c r="E121" s="641"/>
      <c r="F121" s="641"/>
      <c r="G121" s="641"/>
      <c r="H121" s="641"/>
      <c r="I121" s="641"/>
      <c r="J121" s="641"/>
      <c r="K121" s="641"/>
      <c r="L121" s="769"/>
      <c r="M121" s="10"/>
    </row>
    <row r="122" spans="2:13" x14ac:dyDescent="0.25">
      <c r="B122" s="770"/>
      <c r="C122" s="647"/>
      <c r="D122" s="647"/>
      <c r="E122" s="647"/>
      <c r="F122" s="647"/>
      <c r="G122" s="647"/>
      <c r="H122" s="647"/>
      <c r="I122" s="647"/>
      <c r="J122" s="647"/>
      <c r="K122" s="647"/>
      <c r="L122" s="771"/>
      <c r="M122" s="10"/>
    </row>
    <row r="123" spans="2:13" x14ac:dyDescent="0.25">
      <c r="B123" s="747" t="str">
        <f>D$26</f>
        <v>tonnes</v>
      </c>
      <c r="C123" s="748"/>
      <c r="D123" s="748"/>
      <c r="E123" s="137"/>
      <c r="F123" s="137"/>
      <c r="G123" s="137"/>
      <c r="H123" s="137"/>
      <c r="I123" s="137"/>
      <c r="J123" s="137"/>
      <c r="K123" s="137"/>
      <c r="L123" s="138"/>
      <c r="M123" s="10"/>
    </row>
    <row r="124" spans="2:13" x14ac:dyDescent="0.25">
      <c r="B124" s="747" t="str">
        <f>D$27</f>
        <v>valeur d'achat nette rendue (CAD)</v>
      </c>
      <c r="C124" s="748"/>
      <c r="D124" s="748"/>
      <c r="E124" s="137"/>
      <c r="F124" s="137"/>
      <c r="G124" s="137"/>
      <c r="H124" s="137"/>
      <c r="I124" s="137"/>
      <c r="J124" s="137"/>
      <c r="K124" s="137"/>
      <c r="L124" s="138"/>
      <c r="M124" s="10"/>
    </row>
    <row r="125" spans="2:13" x14ac:dyDescent="0.25">
      <c r="B125" s="747" t="str">
        <f>D$28</f>
        <v>$ / tonne</v>
      </c>
      <c r="C125" s="748"/>
      <c r="D125" s="748"/>
      <c r="E125" s="151" t="str">
        <f t="shared" ref="E125:L125" si="18">IF(E123=0,"-",E124/E123)</f>
        <v>-</v>
      </c>
      <c r="F125" s="151" t="str">
        <f t="shared" si="18"/>
        <v>-</v>
      </c>
      <c r="G125" s="151" t="str">
        <f t="shared" si="18"/>
        <v>-</v>
      </c>
      <c r="H125" s="151" t="str">
        <f t="shared" si="18"/>
        <v>-</v>
      </c>
      <c r="I125" s="151" t="str">
        <f t="shared" si="18"/>
        <v>-</v>
      </c>
      <c r="J125" s="151" t="str">
        <f t="shared" si="18"/>
        <v>-</v>
      </c>
      <c r="K125" s="151" t="str">
        <f t="shared" si="18"/>
        <v>-</v>
      </c>
      <c r="L125" s="152" t="str">
        <f t="shared" si="18"/>
        <v>-</v>
      </c>
      <c r="M125" s="10"/>
    </row>
    <row r="126" spans="2:13" x14ac:dyDescent="0.25">
      <c r="B126" s="768" t="str">
        <f>IF(Intro!$G$20="English",Variables!B36,Variables!C36)</f>
        <v>Tubage sans soudure P110 (y compris les améliorations) avec raccord de qualité semi-supérieure</v>
      </c>
      <c r="C126" s="641"/>
      <c r="D126" s="641"/>
      <c r="E126" s="641"/>
      <c r="F126" s="641"/>
      <c r="G126" s="641"/>
      <c r="H126" s="641"/>
      <c r="I126" s="641"/>
      <c r="J126" s="641"/>
      <c r="K126" s="641"/>
      <c r="L126" s="769"/>
      <c r="M126" s="10"/>
    </row>
    <row r="127" spans="2:13" x14ac:dyDescent="0.25">
      <c r="B127" s="770"/>
      <c r="C127" s="647"/>
      <c r="D127" s="647"/>
      <c r="E127" s="647"/>
      <c r="F127" s="647"/>
      <c r="G127" s="647"/>
      <c r="H127" s="647"/>
      <c r="I127" s="647"/>
      <c r="J127" s="647"/>
      <c r="K127" s="647"/>
      <c r="L127" s="771"/>
      <c r="M127" s="10"/>
    </row>
    <row r="128" spans="2:13" x14ac:dyDescent="0.25">
      <c r="B128" s="747" t="str">
        <f>D$26</f>
        <v>tonnes</v>
      </c>
      <c r="C128" s="748"/>
      <c r="D128" s="748"/>
      <c r="E128" s="137"/>
      <c r="F128" s="137"/>
      <c r="G128" s="137"/>
      <c r="H128" s="137"/>
      <c r="I128" s="137"/>
      <c r="J128" s="137"/>
      <c r="K128" s="137"/>
      <c r="L128" s="138"/>
      <c r="M128" s="10"/>
    </row>
    <row r="129" spans="2:13" x14ac:dyDescent="0.25">
      <c r="B129" s="747" t="str">
        <f>D$27</f>
        <v>valeur d'achat nette rendue (CAD)</v>
      </c>
      <c r="C129" s="748"/>
      <c r="D129" s="748"/>
      <c r="E129" s="137"/>
      <c r="F129" s="137"/>
      <c r="G129" s="137"/>
      <c r="H129" s="137"/>
      <c r="I129" s="137"/>
      <c r="J129" s="137"/>
      <c r="K129" s="137"/>
      <c r="L129" s="138"/>
      <c r="M129" s="10"/>
    </row>
    <row r="130" spans="2:13" x14ac:dyDescent="0.25">
      <c r="B130" s="747" t="str">
        <f>D$28</f>
        <v>$ / tonne</v>
      </c>
      <c r="C130" s="748"/>
      <c r="D130" s="748"/>
      <c r="E130" s="151" t="str">
        <f t="shared" ref="E130:L130" si="19">IF(E128=0,"-",E129/E128)</f>
        <v>-</v>
      </c>
      <c r="F130" s="151" t="str">
        <f t="shared" si="19"/>
        <v>-</v>
      </c>
      <c r="G130" s="151" t="str">
        <f t="shared" si="19"/>
        <v>-</v>
      </c>
      <c r="H130" s="151" t="str">
        <f t="shared" si="19"/>
        <v>-</v>
      </c>
      <c r="I130" s="151" t="str">
        <f t="shared" si="19"/>
        <v>-</v>
      </c>
      <c r="J130" s="151" t="str">
        <f t="shared" si="19"/>
        <v>-</v>
      </c>
      <c r="K130" s="151" t="str">
        <f t="shared" si="19"/>
        <v>-</v>
      </c>
      <c r="L130" s="152" t="str">
        <f t="shared" si="19"/>
        <v>-</v>
      </c>
      <c r="M130" s="10"/>
    </row>
    <row r="131" spans="2:13" x14ac:dyDescent="0.25">
      <c r="B131" s="768" t="str">
        <f>IF(Intro!$G$20="English",Variables!B37,Variables!C37)</f>
        <v>Tubage soudé P110 (y compris les améliorations) avec raccord de qualité semi-supérieure</v>
      </c>
      <c r="C131" s="641"/>
      <c r="D131" s="641"/>
      <c r="E131" s="641"/>
      <c r="F131" s="641"/>
      <c r="G131" s="641"/>
      <c r="H131" s="641"/>
      <c r="I131" s="641"/>
      <c r="J131" s="641"/>
      <c r="K131" s="641"/>
      <c r="L131" s="769"/>
      <c r="M131" s="10"/>
    </row>
    <row r="132" spans="2:13" x14ac:dyDescent="0.25">
      <c r="B132" s="770"/>
      <c r="C132" s="647"/>
      <c r="D132" s="647"/>
      <c r="E132" s="647"/>
      <c r="F132" s="647"/>
      <c r="G132" s="647"/>
      <c r="H132" s="647"/>
      <c r="I132" s="647"/>
      <c r="J132" s="647"/>
      <c r="K132" s="647"/>
      <c r="L132" s="771"/>
      <c r="M132" s="10"/>
    </row>
    <row r="133" spans="2:13" x14ac:dyDescent="0.25">
      <c r="B133" s="747" t="str">
        <f>D$26</f>
        <v>tonnes</v>
      </c>
      <c r="C133" s="748"/>
      <c r="D133" s="748"/>
      <c r="E133" s="137"/>
      <c r="F133" s="137"/>
      <c r="G133" s="137"/>
      <c r="H133" s="137"/>
      <c r="I133" s="137"/>
      <c r="J133" s="137"/>
      <c r="K133" s="137"/>
      <c r="L133" s="138"/>
      <c r="M133" s="10"/>
    </row>
    <row r="134" spans="2:13" x14ac:dyDescent="0.25">
      <c r="B134" s="747" t="str">
        <f>D$27</f>
        <v>valeur d'achat nette rendue (CAD)</v>
      </c>
      <c r="C134" s="748"/>
      <c r="D134" s="748"/>
      <c r="E134" s="137"/>
      <c r="F134" s="137"/>
      <c r="G134" s="137"/>
      <c r="H134" s="137"/>
      <c r="I134" s="137"/>
      <c r="J134" s="137"/>
      <c r="K134" s="137"/>
      <c r="L134" s="138"/>
      <c r="M134" s="10"/>
    </row>
    <row r="135" spans="2:13" x14ac:dyDescent="0.25">
      <c r="B135" s="747" t="str">
        <f>D$28</f>
        <v>$ / tonne</v>
      </c>
      <c r="C135" s="748"/>
      <c r="D135" s="748"/>
      <c r="E135" s="151" t="str">
        <f t="shared" ref="E135:L135" si="20">IF(E133=0,"-",E134/E133)</f>
        <v>-</v>
      </c>
      <c r="F135" s="151" t="str">
        <f t="shared" si="20"/>
        <v>-</v>
      </c>
      <c r="G135" s="151" t="str">
        <f t="shared" si="20"/>
        <v>-</v>
      </c>
      <c r="H135" s="151" t="str">
        <f t="shared" si="20"/>
        <v>-</v>
      </c>
      <c r="I135" s="151" t="str">
        <f t="shared" si="20"/>
        <v>-</v>
      </c>
      <c r="J135" s="151" t="str">
        <f t="shared" si="20"/>
        <v>-</v>
      </c>
      <c r="K135" s="151" t="str">
        <f t="shared" si="20"/>
        <v>-</v>
      </c>
      <c r="L135" s="152" t="str">
        <f t="shared" si="20"/>
        <v>-</v>
      </c>
      <c r="M135" s="10"/>
    </row>
    <row r="136" spans="2:13" x14ac:dyDescent="0.25">
      <c r="B136" s="768" t="str">
        <f>IF(Intro!$G$20="English",Variables!B38,Variables!C38)</f>
        <v>Tubage sans soudure T95 (y compris les améliorations) avec raccord semi-supérieure</v>
      </c>
      <c r="C136" s="641"/>
      <c r="D136" s="641"/>
      <c r="E136" s="641"/>
      <c r="F136" s="641"/>
      <c r="G136" s="641"/>
      <c r="H136" s="641"/>
      <c r="I136" s="641"/>
      <c r="J136" s="641"/>
      <c r="K136" s="641"/>
      <c r="L136" s="769"/>
      <c r="M136" s="10"/>
    </row>
    <row r="137" spans="2:13" x14ac:dyDescent="0.25">
      <c r="B137" s="770"/>
      <c r="C137" s="647"/>
      <c r="D137" s="647"/>
      <c r="E137" s="647"/>
      <c r="F137" s="647"/>
      <c r="G137" s="647"/>
      <c r="H137" s="647"/>
      <c r="I137" s="647"/>
      <c r="J137" s="647"/>
      <c r="K137" s="647"/>
      <c r="L137" s="771"/>
      <c r="M137" s="10"/>
    </row>
    <row r="138" spans="2:13" x14ac:dyDescent="0.25">
      <c r="B138" s="747" t="str">
        <f>D$26</f>
        <v>tonnes</v>
      </c>
      <c r="C138" s="748"/>
      <c r="D138" s="748"/>
      <c r="E138" s="137"/>
      <c r="F138" s="137"/>
      <c r="G138" s="137"/>
      <c r="H138" s="137"/>
      <c r="I138" s="137"/>
      <c r="J138" s="137"/>
      <c r="K138" s="137"/>
      <c r="L138" s="138"/>
      <c r="M138" s="10"/>
    </row>
    <row r="139" spans="2:13" x14ac:dyDescent="0.25">
      <c r="B139" s="747" t="str">
        <f>D$27</f>
        <v>valeur d'achat nette rendue (CAD)</v>
      </c>
      <c r="C139" s="748"/>
      <c r="D139" s="748"/>
      <c r="E139" s="137"/>
      <c r="F139" s="137"/>
      <c r="G139" s="137"/>
      <c r="H139" s="137"/>
      <c r="I139" s="137"/>
      <c r="J139" s="137"/>
      <c r="K139" s="137"/>
      <c r="L139" s="138"/>
      <c r="M139" s="10"/>
    </row>
    <row r="140" spans="2:13" x14ac:dyDescent="0.25">
      <c r="B140" s="747" t="str">
        <f>D$28</f>
        <v>$ / tonne</v>
      </c>
      <c r="C140" s="748"/>
      <c r="D140" s="748"/>
      <c r="E140" s="151" t="str">
        <f t="shared" ref="E140:L140" si="21">IF(E138=0,"-",E139/E138)</f>
        <v>-</v>
      </c>
      <c r="F140" s="151" t="str">
        <f t="shared" si="21"/>
        <v>-</v>
      </c>
      <c r="G140" s="151" t="str">
        <f t="shared" si="21"/>
        <v>-</v>
      </c>
      <c r="H140" s="151" t="str">
        <f t="shared" si="21"/>
        <v>-</v>
      </c>
      <c r="I140" s="151" t="str">
        <f t="shared" si="21"/>
        <v>-</v>
      </c>
      <c r="J140" s="151" t="str">
        <f t="shared" si="21"/>
        <v>-</v>
      </c>
      <c r="K140" s="151" t="str">
        <f t="shared" si="21"/>
        <v>-</v>
      </c>
      <c r="L140" s="152" t="str">
        <f t="shared" si="21"/>
        <v>-</v>
      </c>
      <c r="M140" s="10"/>
    </row>
    <row r="141" spans="2:13" x14ac:dyDescent="0.25">
      <c r="B141" s="768" t="str">
        <f>IF(Intro!$G$20="English",Variables!B39,Variables!C39)</f>
        <v>Tubage sans soudure P110S (y compris les améliorations) ou nuance similaire pour milieux modérément acides avec raccord de qualité semi-supérieure</v>
      </c>
      <c r="C141" s="641"/>
      <c r="D141" s="641"/>
      <c r="E141" s="641"/>
      <c r="F141" s="641"/>
      <c r="G141" s="641"/>
      <c r="H141" s="641"/>
      <c r="I141" s="641"/>
      <c r="J141" s="641"/>
      <c r="K141" s="641"/>
      <c r="L141" s="769"/>
      <c r="M141" s="10"/>
    </row>
    <row r="142" spans="2:13" x14ac:dyDescent="0.25">
      <c r="B142" s="770"/>
      <c r="C142" s="647"/>
      <c r="D142" s="647"/>
      <c r="E142" s="647"/>
      <c r="F142" s="647"/>
      <c r="G142" s="647"/>
      <c r="H142" s="647"/>
      <c r="I142" s="647"/>
      <c r="J142" s="647"/>
      <c r="K142" s="647"/>
      <c r="L142" s="771"/>
      <c r="M142" s="10"/>
    </row>
    <row r="143" spans="2:13" x14ac:dyDescent="0.25">
      <c r="B143" s="747" t="str">
        <f>D$26</f>
        <v>tonnes</v>
      </c>
      <c r="C143" s="748"/>
      <c r="D143" s="748"/>
      <c r="E143" s="137"/>
      <c r="F143" s="137"/>
      <c r="G143" s="137"/>
      <c r="H143" s="137"/>
      <c r="I143" s="137"/>
      <c r="J143" s="137"/>
      <c r="K143" s="137"/>
      <c r="L143" s="138"/>
      <c r="M143" s="10"/>
    </row>
    <row r="144" spans="2:13" x14ac:dyDescent="0.25">
      <c r="B144" s="747" t="str">
        <f>D$27</f>
        <v>valeur d'achat nette rendue (CAD)</v>
      </c>
      <c r="C144" s="748"/>
      <c r="D144" s="748"/>
      <c r="E144" s="137"/>
      <c r="F144" s="137"/>
      <c r="G144" s="137"/>
      <c r="H144" s="137"/>
      <c r="I144" s="137"/>
      <c r="J144" s="137"/>
      <c r="K144" s="137"/>
      <c r="L144" s="138"/>
      <c r="M144" s="10"/>
    </row>
    <row r="145" spans="1:19" x14ac:dyDescent="0.25">
      <c r="B145" s="747" t="str">
        <f>D$28</f>
        <v>$ / tonne</v>
      </c>
      <c r="C145" s="748"/>
      <c r="D145" s="748"/>
      <c r="E145" s="151" t="str">
        <f t="shared" ref="E145:L145" si="22">IF(E143=0,"-",E144/E143)</f>
        <v>-</v>
      </c>
      <c r="F145" s="151" t="str">
        <f t="shared" si="22"/>
        <v>-</v>
      </c>
      <c r="G145" s="151" t="str">
        <f t="shared" si="22"/>
        <v>-</v>
      </c>
      <c r="H145" s="151" t="str">
        <f t="shared" si="22"/>
        <v>-</v>
      </c>
      <c r="I145" s="151" t="str">
        <f t="shared" si="22"/>
        <v>-</v>
      </c>
      <c r="J145" s="151" t="str">
        <f t="shared" si="22"/>
        <v>-</v>
      </c>
      <c r="K145" s="151" t="str">
        <f t="shared" si="22"/>
        <v>-</v>
      </c>
      <c r="L145" s="152" t="str">
        <f t="shared" si="22"/>
        <v>-</v>
      </c>
      <c r="M145" s="10"/>
    </row>
    <row r="146" spans="1:19" x14ac:dyDescent="0.25">
      <c r="B146" s="316"/>
      <c r="C146" s="317"/>
      <c r="D146" s="317"/>
      <c r="E146" s="29"/>
      <c r="F146" s="29"/>
      <c r="G146" s="29"/>
      <c r="H146" s="29"/>
      <c r="I146" s="29"/>
      <c r="J146" s="29"/>
      <c r="K146" s="29"/>
      <c r="L146" s="30"/>
      <c r="M146" s="10"/>
    </row>
    <row r="147" spans="1:19" x14ac:dyDescent="0.25">
      <c r="B147" s="530" t="str">
        <f>IF(Intro!$G$20="English",O147,P147)</f>
        <v>Dans le tableau ci-dessous, « Erreur » signifie que les importations totales des produits de référence de votre entreprise dépassent les importations totales de votre entreprise pour cette période. Par conséquent, veuillez modifier les données ci-dessus si nécessaire.</v>
      </c>
      <c r="C147" s="531"/>
      <c r="D147" s="531"/>
      <c r="E147" s="531"/>
      <c r="F147" s="531"/>
      <c r="G147" s="531"/>
      <c r="H147" s="531"/>
      <c r="I147" s="531"/>
      <c r="J147" s="531"/>
      <c r="K147" s="531"/>
      <c r="L147" s="532"/>
      <c r="M147" s="10"/>
      <c r="O147" s="10" t="s">
        <v>361</v>
      </c>
      <c r="P147" s="10" t="s">
        <v>362</v>
      </c>
      <c r="S147" s="38"/>
    </row>
    <row r="148" spans="1:19" x14ac:dyDescent="0.25">
      <c r="B148" s="530"/>
      <c r="C148" s="531"/>
      <c r="D148" s="531"/>
      <c r="E148" s="531"/>
      <c r="F148" s="531"/>
      <c r="G148" s="531"/>
      <c r="H148" s="531"/>
      <c r="I148" s="531"/>
      <c r="J148" s="531"/>
      <c r="K148" s="531"/>
      <c r="L148" s="532"/>
      <c r="M148" s="10"/>
      <c r="S148" s="38"/>
    </row>
    <row r="149" spans="1:19" x14ac:dyDescent="0.25">
      <c r="B149" s="316"/>
      <c r="C149" s="317"/>
      <c r="D149" s="317"/>
      <c r="E149" s="29"/>
      <c r="F149" s="29"/>
      <c r="G149" s="29"/>
      <c r="H149" s="29"/>
      <c r="I149" s="29"/>
      <c r="J149" s="29"/>
      <c r="K149" s="29"/>
      <c r="L149" s="30"/>
      <c r="M149" s="10"/>
      <c r="S149" s="38"/>
    </row>
    <row r="150" spans="1:19" ht="14.1" customHeight="1" x14ac:dyDescent="0.25">
      <c r="B150" s="760" t="str">
        <f>Variables!D66</f>
        <v>Vérification - volume</v>
      </c>
      <c r="C150" s="761"/>
      <c r="D150" s="761"/>
      <c r="E150" s="761"/>
      <c r="F150" s="762"/>
      <c r="G150" s="320">
        <f>G80</f>
        <v>2024</v>
      </c>
      <c r="H150" s="320">
        <f>H80</f>
        <v>2025</v>
      </c>
      <c r="I150" s="320" t="str">
        <f>I80</f>
        <v>janv.-mars 2025</v>
      </c>
      <c r="J150" s="320" t="str">
        <f>J80</f>
        <v>janv.-mars 2026</v>
      </c>
      <c r="K150" s="225"/>
      <c r="L150" s="226"/>
      <c r="M150" s="10"/>
    </row>
    <row r="151" spans="1:19" ht="14.1" customHeight="1" x14ac:dyDescent="0.25">
      <c r="B151" s="789" t="str">
        <f>B98</f>
        <v>tonnes</v>
      </c>
      <c r="C151" s="790"/>
      <c r="D151" s="790"/>
      <c r="E151" s="790"/>
      <c r="F151" s="791"/>
      <c r="G151" s="187" t="str">
        <f>IF(SUM(E98:G98,E103:G103,E108:G108,E113:G113,E118:G118,E123:G123,E128:G128,E133:G133,E138:G138,E143:G143)&gt;H26,Variables!$D$67,Variables!$D$68)</f>
        <v>Correct</v>
      </c>
      <c r="H151" s="187" t="str">
        <f>IF(SUM(H98:K98,H103:K103,H108:K108,H113:K113,H118:K118,H123:K123,H128:K128,H133:K133,H138:K138,H143:K143)&gt;I26,Variables!$D$67,Variables!$D$68)</f>
        <v>Correct</v>
      </c>
      <c r="I151" s="187" t="str">
        <f>IF(SUM(H98,H103,H108,H113,H118,H123,H128,H133,H138,H143)&gt;J26,Variables!$D$67,Variables!$D$68)</f>
        <v>Correct</v>
      </c>
      <c r="J151" s="187" t="str">
        <f>IF(SUM(L98,L103,L108,L113,L118,L123,L128,L133,L138,L143)&gt;K26,Variables!$D$67,Variables!$D$68)</f>
        <v>Correct</v>
      </c>
      <c r="K151" s="225"/>
      <c r="L151" s="226"/>
      <c r="M151" s="10"/>
    </row>
    <row r="152" spans="1:19" ht="14.1" customHeight="1" x14ac:dyDescent="0.25">
      <c r="B152" s="763" t="str">
        <f>IF(Intro!$G$20="English",O152,P152)</f>
        <v>volume - total des importations des produits de référence (Question 3)</v>
      </c>
      <c r="C152" s="764"/>
      <c r="D152" s="764"/>
      <c r="E152" s="764"/>
      <c r="F152" s="765"/>
      <c r="G152" s="187">
        <f>SUM(E98:G98,E103:G103,E108:G108,E113:G113,E118:G118,E123:G123,E128:G128,E133:G133,E138:G138,E143:G143)</f>
        <v>0</v>
      </c>
      <c r="H152" s="187">
        <f>SUM(H98:K98,H103:K103,H108:K108,H113:K113,H118:K118,H123:K123,H128:K128,H133:K133,H138:K138,H143:K143)</f>
        <v>0</v>
      </c>
      <c r="I152" s="187">
        <f>SUM(H98,H103,H108,H113,H118,H123,H128,H133,H138,H143)</f>
        <v>0</v>
      </c>
      <c r="J152" s="187">
        <f>SUM(L98,L103,L108,L113,L118,L123,L128,L133,L138,L143)</f>
        <v>0</v>
      </c>
      <c r="K152" s="225"/>
      <c r="L152" s="226"/>
      <c r="M152" s="10"/>
      <c r="O152" s="10" t="s">
        <v>431</v>
      </c>
      <c r="P152" s="10" t="s">
        <v>432</v>
      </c>
    </row>
    <row r="153" spans="1:19" ht="14.1" customHeight="1" x14ac:dyDescent="0.25">
      <c r="B153" s="763" t="str">
        <f>IF(Intro!$G$20="English",O153,P153)</f>
        <v>volume - total des importations (Question 1)</v>
      </c>
      <c r="C153" s="764"/>
      <c r="D153" s="764"/>
      <c r="E153" s="764"/>
      <c r="F153" s="765"/>
      <c r="G153" s="187">
        <f>H26</f>
        <v>0</v>
      </c>
      <c r="H153" s="187">
        <f>I26</f>
        <v>0</v>
      </c>
      <c r="I153" s="187">
        <f>J26</f>
        <v>0</v>
      </c>
      <c r="J153" s="187">
        <f>K26</f>
        <v>0</v>
      </c>
      <c r="K153" s="225"/>
      <c r="L153" s="226"/>
      <c r="M153" s="10"/>
      <c r="O153" s="10" t="s">
        <v>433</v>
      </c>
      <c r="P153" s="10" t="s">
        <v>434</v>
      </c>
    </row>
    <row r="154" spans="1:19" x14ac:dyDescent="0.25">
      <c r="B154" s="760" t="str">
        <f>Variables!D70</f>
        <v>Vérification - valeur</v>
      </c>
      <c r="C154" s="761"/>
      <c r="D154" s="761"/>
      <c r="E154" s="761"/>
      <c r="F154" s="762"/>
      <c r="G154" s="320">
        <f>G150</f>
        <v>2024</v>
      </c>
      <c r="H154" s="320">
        <f>H150</f>
        <v>2025</v>
      </c>
      <c r="I154" s="320" t="str">
        <f>I150</f>
        <v>janv.-mars 2025</v>
      </c>
      <c r="J154" s="320" t="str">
        <f>J150</f>
        <v>janv.-mars 2026</v>
      </c>
      <c r="K154" s="225"/>
      <c r="L154" s="226"/>
      <c r="M154" s="10"/>
    </row>
    <row r="155" spans="1:19" ht="14.1" customHeight="1" x14ac:dyDescent="0.25">
      <c r="B155" s="789" t="str">
        <f>B99</f>
        <v>valeur d'achat nette rendue (CAD)</v>
      </c>
      <c r="C155" s="790"/>
      <c r="D155" s="790"/>
      <c r="E155" s="790"/>
      <c r="F155" s="791"/>
      <c r="G155" s="187" t="str">
        <f>IF(SUM(E99:G99,E104:G104,E109:G109,E114:G114,E119:G119,E124:G124,E129:G129,E134:G134,E139:G139,E144:G144)&gt;H27,Variables!$D$67,Variables!$D$68)</f>
        <v>Correct</v>
      </c>
      <c r="H155" s="187" t="str">
        <f>IF(SUM(H99:K99,H104:K104,H109:K109,H114:K114,H119:K119,H124:K124,H129:K129,H134:K134,H139:K139,H144:K144)&gt;I27,Variables!$D$67,Variables!$D$68)</f>
        <v>Correct</v>
      </c>
      <c r="I155" s="187" t="str">
        <f>IF(SUM(H99,H104,H109,H114,H119,H124,H129,H134,H139,H144)&gt;J27,Variables!$D$67,Variables!$D$68)</f>
        <v>Correct</v>
      </c>
      <c r="J155" s="187" t="str">
        <f>IF(SUM(L99,L104,L109,L114,L119,L124,L129,L134,L139,L144)&gt;K27,Variables!$D$67,Variables!$D$68)</f>
        <v>Correct</v>
      </c>
      <c r="K155" s="225"/>
      <c r="L155" s="226"/>
      <c r="M155" s="10"/>
    </row>
    <row r="156" spans="1:19" ht="14.1" customHeight="1" x14ac:dyDescent="0.25">
      <c r="B156" s="763" t="str">
        <f>IF(Intro!$G$20="English",O156,P156)</f>
        <v>valeur - total des importations des produits de référence (Question 3)</v>
      </c>
      <c r="C156" s="764"/>
      <c r="D156" s="764"/>
      <c r="E156" s="764"/>
      <c r="F156" s="765"/>
      <c r="G156" s="187">
        <f>SUM(E99:G99,E104:G104,E109:G109,E114:G114,E119:G119,E124:G124,E129:G129,E134:G134,E139:G139,E144:G144)</f>
        <v>0</v>
      </c>
      <c r="H156" s="187">
        <f>SUM(H99:K99,H104:K104,H109:K109,H114:K114,H119:K119,H124:K124,H129:K129,H134:K134,H139:K139,H144:K144)</f>
        <v>0</v>
      </c>
      <c r="I156" s="187">
        <f>SUM(H99,H104,H109,H114,H119,H124,H129,H134,H139,H144)</f>
        <v>0</v>
      </c>
      <c r="J156" s="187">
        <f>SUM(L99,L104,L109,L114,L119,L124,L129,L134,L139,L144)</f>
        <v>0</v>
      </c>
      <c r="K156" s="225"/>
      <c r="L156" s="226"/>
      <c r="M156" s="10"/>
      <c r="O156" s="10" t="s">
        <v>435</v>
      </c>
      <c r="P156" s="10" t="s">
        <v>436</v>
      </c>
    </row>
    <row r="157" spans="1:19" ht="14.1" customHeight="1" x14ac:dyDescent="0.25">
      <c r="B157" s="763" t="str">
        <f>IF(Intro!$G$20="English",O157,P157)</f>
        <v>valeur - total des importations (Question 1)</v>
      </c>
      <c r="C157" s="764"/>
      <c r="D157" s="764"/>
      <c r="E157" s="764"/>
      <c r="F157" s="765"/>
      <c r="G157" s="187">
        <f>H27</f>
        <v>0</v>
      </c>
      <c r="H157" s="187">
        <f>I27</f>
        <v>0</v>
      </c>
      <c r="I157" s="187">
        <f>J27</f>
        <v>0</v>
      </c>
      <c r="J157" s="187">
        <f>K27</f>
        <v>0</v>
      </c>
      <c r="K157" s="225"/>
      <c r="L157" s="226"/>
      <c r="M157" s="10"/>
      <c r="O157" s="10" t="s">
        <v>437</v>
      </c>
      <c r="P157" s="10" t="s">
        <v>438</v>
      </c>
    </row>
    <row r="158" spans="1:19" x14ac:dyDescent="0.25">
      <c r="B158" s="72"/>
      <c r="C158" s="82"/>
      <c r="D158" s="82"/>
      <c r="E158" s="82"/>
      <c r="F158" s="82"/>
      <c r="G158" s="82"/>
      <c r="H158" s="82"/>
      <c r="I158" s="82"/>
      <c r="J158" s="82"/>
      <c r="K158" s="82"/>
      <c r="L158" s="83"/>
      <c r="M158" s="10"/>
    </row>
    <row r="159" spans="1:19" s="207" customFormat="1" x14ac:dyDescent="0.25">
      <c r="A159" s="7"/>
      <c r="B159" s="91"/>
      <c r="C159" s="91"/>
      <c r="D159" s="89"/>
      <c r="E159" s="319"/>
      <c r="F159" s="319"/>
      <c r="G159" s="319"/>
      <c r="H159" s="319"/>
      <c r="I159" s="319"/>
      <c r="J159" s="319"/>
      <c r="K159" s="319"/>
      <c r="L159" s="319"/>
      <c r="M159" s="73"/>
    </row>
    <row r="160" spans="1:19" x14ac:dyDescent="0.25">
      <c r="B160" s="533" t="str">
        <f>IF(Intro!$G$20="English",O160,P160)</f>
        <v>VENTES AU CANADA D'IMPORTATIONS DE PRODUITS DE RÉFÉRENCE</v>
      </c>
      <c r="C160" s="534"/>
      <c r="D160" s="534"/>
      <c r="E160" s="534"/>
      <c r="F160" s="534"/>
      <c r="G160" s="534"/>
      <c r="H160" s="534"/>
      <c r="I160" s="534"/>
      <c r="J160" s="534"/>
      <c r="K160" s="534"/>
      <c r="L160" s="535"/>
      <c r="M160" s="10"/>
      <c r="O160" s="105" t="s">
        <v>336</v>
      </c>
      <c r="P160" s="105" t="s">
        <v>400</v>
      </c>
    </row>
    <row r="161" spans="2:16" x14ac:dyDescent="0.25">
      <c r="B161" s="671" t="s">
        <v>17</v>
      </c>
      <c r="C161" s="672"/>
      <c r="D161" s="672"/>
      <c r="E161" s="672"/>
      <c r="F161" s="672"/>
      <c r="G161" s="672"/>
      <c r="H161" s="672"/>
      <c r="I161" s="672"/>
      <c r="J161" s="672"/>
      <c r="K161" s="672"/>
      <c r="L161" s="673"/>
      <c r="M161" s="10"/>
    </row>
    <row r="162" spans="2:16" x14ac:dyDescent="0.25">
      <c r="B162" s="16"/>
      <c r="C162" s="35"/>
      <c r="D162" s="35"/>
      <c r="E162" s="36"/>
      <c r="F162" s="36"/>
      <c r="G162" s="36"/>
      <c r="H162" s="36"/>
      <c r="I162" s="36"/>
      <c r="J162" s="36"/>
      <c r="K162" s="36"/>
      <c r="L162" s="17"/>
      <c r="M162" s="10"/>
    </row>
    <row r="163" spans="2:16" x14ac:dyDescent="0.25">
      <c r="B163" s="530" t="str">
        <f>IF(Intro!$G$20="English",O163,P163)</f>
        <v>Indiquez le volume et la valeur des ventes d'importations au Canada pour chaque produit de référence :</v>
      </c>
      <c r="C163" s="531"/>
      <c r="D163" s="531"/>
      <c r="E163" s="531"/>
      <c r="F163" s="531"/>
      <c r="G163" s="531"/>
      <c r="H163" s="531"/>
      <c r="I163" s="531"/>
      <c r="J163" s="531"/>
      <c r="K163" s="531"/>
      <c r="L163" s="532"/>
      <c r="M163" s="10"/>
      <c r="O163" s="18" t="s">
        <v>171</v>
      </c>
      <c r="P163" s="10" t="s">
        <v>399</v>
      </c>
    </row>
    <row r="164" spans="2:16" x14ac:dyDescent="0.25">
      <c r="B164" s="530" t="str">
        <f>Pro!B22</f>
        <v>Note - Ne répondez à cette question que si votre entreprise a vendu les marchandises du 1er janvier 2023 au 31 mars 2026.</v>
      </c>
      <c r="C164" s="531"/>
      <c r="D164" s="531"/>
      <c r="E164" s="531"/>
      <c r="F164" s="531"/>
      <c r="G164" s="531"/>
      <c r="H164" s="531"/>
      <c r="I164" s="531"/>
      <c r="J164" s="531"/>
      <c r="K164" s="531"/>
      <c r="L164" s="532"/>
      <c r="M164" s="10"/>
      <c r="O164" s="18"/>
    </row>
    <row r="165" spans="2:16" x14ac:dyDescent="0.25">
      <c r="B165" s="316"/>
      <c r="C165" s="317"/>
      <c r="D165" s="35"/>
      <c r="E165" s="36"/>
      <c r="F165" s="36"/>
      <c r="G165" s="36"/>
      <c r="H165" s="36"/>
      <c r="I165" s="36"/>
      <c r="J165" s="36"/>
      <c r="K165" s="36"/>
      <c r="L165" s="17"/>
      <c r="M165" s="10"/>
      <c r="O165" s="18"/>
    </row>
    <row r="166" spans="2:16" x14ac:dyDescent="0.25">
      <c r="B166" s="772"/>
      <c r="C166" s="773"/>
      <c r="D166" s="774"/>
      <c r="E166" s="320" t="str">
        <f t="shared" ref="E166:L166" si="23">E95</f>
        <v>T2 - 2024</v>
      </c>
      <c r="F166" s="320" t="str">
        <f t="shared" si="23"/>
        <v>T3 - 2024</v>
      </c>
      <c r="G166" s="320" t="str">
        <f t="shared" si="23"/>
        <v>T4 - 2024</v>
      </c>
      <c r="H166" s="320" t="str">
        <f t="shared" si="23"/>
        <v>T1 - 2025</v>
      </c>
      <c r="I166" s="320" t="str">
        <f t="shared" si="23"/>
        <v>T2 - 2025</v>
      </c>
      <c r="J166" s="320" t="str">
        <f t="shared" si="23"/>
        <v>T3 - 2025</v>
      </c>
      <c r="K166" s="320" t="str">
        <f t="shared" si="23"/>
        <v>T4 - 2025</v>
      </c>
      <c r="L166" s="321" t="str">
        <f t="shared" si="23"/>
        <v>T1 - 2026</v>
      </c>
      <c r="M166" s="10"/>
      <c r="O166" s="18"/>
    </row>
    <row r="167" spans="2:16" x14ac:dyDescent="0.25">
      <c r="B167" s="768" t="str">
        <f>B96</f>
        <v xml:space="preserve">Tubage sans soudure L80 (y compris les améliorations) avec raccord API </v>
      </c>
      <c r="C167" s="641"/>
      <c r="D167" s="641"/>
      <c r="E167" s="641"/>
      <c r="F167" s="641"/>
      <c r="G167" s="641"/>
      <c r="H167" s="641"/>
      <c r="I167" s="641"/>
      <c r="J167" s="641"/>
      <c r="K167" s="641"/>
      <c r="L167" s="769"/>
      <c r="M167" s="10"/>
    </row>
    <row r="168" spans="2:16" x14ac:dyDescent="0.25">
      <c r="B168" s="770"/>
      <c r="C168" s="647"/>
      <c r="D168" s="647"/>
      <c r="E168" s="647"/>
      <c r="F168" s="647"/>
      <c r="G168" s="647"/>
      <c r="H168" s="647"/>
      <c r="I168" s="647"/>
      <c r="J168" s="647"/>
      <c r="K168" s="647"/>
      <c r="L168" s="771"/>
      <c r="M168" s="10"/>
    </row>
    <row r="169" spans="2:16" x14ac:dyDescent="0.25">
      <c r="B169" s="747" t="str">
        <f>D$31</f>
        <v>tonnes</v>
      </c>
      <c r="C169" s="748"/>
      <c r="D169" s="748"/>
      <c r="E169" s="137"/>
      <c r="F169" s="137"/>
      <c r="G169" s="137"/>
      <c r="H169" s="137"/>
      <c r="I169" s="137"/>
      <c r="J169" s="137"/>
      <c r="K169" s="137"/>
      <c r="L169" s="138"/>
      <c r="M169" s="10"/>
    </row>
    <row r="170" spans="2:16" x14ac:dyDescent="0.25">
      <c r="B170" s="747" t="str">
        <f>D$32</f>
        <v>valeur de vente nette rendue (CAD)</v>
      </c>
      <c r="C170" s="748"/>
      <c r="D170" s="748"/>
      <c r="E170" s="137"/>
      <c r="F170" s="137"/>
      <c r="G170" s="137"/>
      <c r="H170" s="137"/>
      <c r="I170" s="137"/>
      <c r="J170" s="137"/>
      <c r="K170" s="137"/>
      <c r="L170" s="138"/>
      <c r="M170" s="10"/>
    </row>
    <row r="171" spans="2:16" x14ac:dyDescent="0.25">
      <c r="B171" s="747" t="str">
        <f>D$33</f>
        <v>$ / tonne</v>
      </c>
      <c r="C171" s="748"/>
      <c r="D171" s="748"/>
      <c r="E171" s="151" t="str">
        <f t="shared" ref="E171:L171" si="24">IF(E169=0,"-",E170/E169)</f>
        <v>-</v>
      </c>
      <c r="F171" s="151" t="str">
        <f t="shared" si="24"/>
        <v>-</v>
      </c>
      <c r="G171" s="151" t="str">
        <f t="shared" si="24"/>
        <v>-</v>
      </c>
      <c r="H171" s="151" t="str">
        <f t="shared" si="24"/>
        <v>-</v>
      </c>
      <c r="I171" s="151" t="str">
        <f t="shared" si="24"/>
        <v>-</v>
      </c>
      <c r="J171" s="151" t="str">
        <f t="shared" si="24"/>
        <v>-</v>
      </c>
      <c r="K171" s="151" t="str">
        <f t="shared" si="24"/>
        <v>-</v>
      </c>
      <c r="L171" s="152" t="str">
        <f t="shared" si="24"/>
        <v>-</v>
      </c>
      <c r="M171" s="10"/>
    </row>
    <row r="172" spans="2:16" x14ac:dyDescent="0.25">
      <c r="B172" s="768" t="str">
        <f>B101</f>
        <v>Tubage soudé L80 (y compris les améliorations) avec raccord API</v>
      </c>
      <c r="C172" s="641"/>
      <c r="D172" s="641"/>
      <c r="E172" s="641"/>
      <c r="F172" s="641"/>
      <c r="G172" s="641"/>
      <c r="H172" s="641"/>
      <c r="I172" s="641"/>
      <c r="J172" s="641"/>
      <c r="K172" s="641"/>
      <c r="L172" s="769"/>
      <c r="M172" s="10"/>
    </row>
    <row r="173" spans="2:16" x14ac:dyDescent="0.25">
      <c r="B173" s="770"/>
      <c r="C173" s="647"/>
      <c r="D173" s="647"/>
      <c r="E173" s="647"/>
      <c r="F173" s="647"/>
      <c r="G173" s="647"/>
      <c r="H173" s="647"/>
      <c r="I173" s="647"/>
      <c r="J173" s="647"/>
      <c r="K173" s="647"/>
      <c r="L173" s="771"/>
      <c r="M173" s="10"/>
    </row>
    <row r="174" spans="2:16" x14ac:dyDescent="0.25">
      <c r="B174" s="747" t="str">
        <f>D$31</f>
        <v>tonnes</v>
      </c>
      <c r="C174" s="748"/>
      <c r="D174" s="748"/>
      <c r="E174" s="137"/>
      <c r="F174" s="137"/>
      <c r="G174" s="137"/>
      <c r="H174" s="137"/>
      <c r="I174" s="137"/>
      <c r="J174" s="137"/>
      <c r="K174" s="137"/>
      <c r="L174" s="138"/>
      <c r="M174" s="10"/>
    </row>
    <row r="175" spans="2:16" x14ac:dyDescent="0.25">
      <c r="B175" s="747" t="str">
        <f>D$32</f>
        <v>valeur de vente nette rendue (CAD)</v>
      </c>
      <c r="C175" s="748"/>
      <c r="D175" s="748"/>
      <c r="E175" s="137"/>
      <c r="F175" s="137"/>
      <c r="G175" s="137"/>
      <c r="H175" s="137"/>
      <c r="I175" s="137"/>
      <c r="J175" s="137"/>
      <c r="K175" s="137"/>
      <c r="L175" s="138"/>
      <c r="M175" s="10"/>
    </row>
    <row r="176" spans="2:16" x14ac:dyDescent="0.25">
      <c r="B176" s="747" t="str">
        <f>D$33</f>
        <v>$ / tonne</v>
      </c>
      <c r="C176" s="748"/>
      <c r="D176" s="748"/>
      <c r="E176" s="151" t="str">
        <f>IF(E174=0,"-",E175/E174)</f>
        <v>-</v>
      </c>
      <c r="F176" s="151" t="str">
        <f t="shared" ref="F176:L176" si="25">IF(F174=0,"-",F175/F174)</f>
        <v>-</v>
      </c>
      <c r="G176" s="151" t="str">
        <f t="shared" si="25"/>
        <v>-</v>
      </c>
      <c r="H176" s="151" t="str">
        <f t="shared" si="25"/>
        <v>-</v>
      </c>
      <c r="I176" s="151" t="str">
        <f t="shared" si="25"/>
        <v>-</v>
      </c>
      <c r="J176" s="151" t="str">
        <f t="shared" si="25"/>
        <v>-</v>
      </c>
      <c r="K176" s="151" t="str">
        <f t="shared" si="25"/>
        <v>-</v>
      </c>
      <c r="L176" s="152" t="str">
        <f t="shared" si="25"/>
        <v>-</v>
      </c>
      <c r="M176" s="10"/>
    </row>
    <row r="177" spans="2:13" x14ac:dyDescent="0.25">
      <c r="B177" s="768" t="str">
        <f>B106</f>
        <v xml:space="preserve">Tubage sans soudure L80 (y compris les améliorations) avec raccord de qualité semi-supérieure </v>
      </c>
      <c r="C177" s="641"/>
      <c r="D177" s="641"/>
      <c r="E177" s="641"/>
      <c r="F177" s="641"/>
      <c r="G177" s="641"/>
      <c r="H177" s="641"/>
      <c r="I177" s="641"/>
      <c r="J177" s="641"/>
      <c r="K177" s="641"/>
      <c r="L177" s="769"/>
      <c r="M177" s="10"/>
    </row>
    <row r="178" spans="2:13" x14ac:dyDescent="0.25">
      <c r="B178" s="770"/>
      <c r="C178" s="647"/>
      <c r="D178" s="647"/>
      <c r="E178" s="647"/>
      <c r="F178" s="647"/>
      <c r="G178" s="647"/>
      <c r="H178" s="647"/>
      <c r="I178" s="647"/>
      <c r="J178" s="647"/>
      <c r="K178" s="647"/>
      <c r="L178" s="771"/>
      <c r="M178" s="10"/>
    </row>
    <row r="179" spans="2:13" x14ac:dyDescent="0.25">
      <c r="B179" s="747" t="str">
        <f>D$31</f>
        <v>tonnes</v>
      </c>
      <c r="C179" s="748"/>
      <c r="D179" s="748"/>
      <c r="E179" s="137"/>
      <c r="F179" s="137"/>
      <c r="G179" s="137"/>
      <c r="H179" s="137"/>
      <c r="I179" s="137"/>
      <c r="J179" s="137"/>
      <c r="K179" s="137"/>
      <c r="L179" s="138"/>
      <c r="M179" s="10"/>
    </row>
    <row r="180" spans="2:13" x14ac:dyDescent="0.25">
      <c r="B180" s="747" t="str">
        <f>D$32</f>
        <v>valeur de vente nette rendue (CAD)</v>
      </c>
      <c r="C180" s="748"/>
      <c r="D180" s="748"/>
      <c r="E180" s="137"/>
      <c r="F180" s="137"/>
      <c r="G180" s="137"/>
      <c r="H180" s="137"/>
      <c r="I180" s="137"/>
      <c r="J180" s="137"/>
      <c r="K180" s="137"/>
      <c r="L180" s="138"/>
      <c r="M180" s="10"/>
    </row>
    <row r="181" spans="2:13" x14ac:dyDescent="0.25">
      <c r="B181" s="747" t="str">
        <f>D$33</f>
        <v>$ / tonne</v>
      </c>
      <c r="C181" s="748"/>
      <c r="D181" s="748"/>
      <c r="E181" s="151" t="str">
        <f>IF(E179=0,"-",E180/E179)</f>
        <v>-</v>
      </c>
      <c r="F181" s="151" t="str">
        <f t="shared" ref="F181:L181" si="26">IF(F179=0,"-",F180/F179)</f>
        <v>-</v>
      </c>
      <c r="G181" s="151" t="str">
        <f t="shared" si="26"/>
        <v>-</v>
      </c>
      <c r="H181" s="151" t="str">
        <f t="shared" si="26"/>
        <v>-</v>
      </c>
      <c r="I181" s="151" t="str">
        <f t="shared" si="26"/>
        <v>-</v>
      </c>
      <c r="J181" s="151" t="str">
        <f t="shared" si="26"/>
        <v>-</v>
      </c>
      <c r="K181" s="151" t="str">
        <f t="shared" si="26"/>
        <v>-</v>
      </c>
      <c r="L181" s="152" t="str">
        <f t="shared" si="26"/>
        <v>-</v>
      </c>
      <c r="M181" s="10"/>
    </row>
    <row r="182" spans="2:13" x14ac:dyDescent="0.25">
      <c r="B182" s="768" t="str">
        <f>B111</f>
        <v xml:space="preserve">Tubage soudé L80 (y compris les améliorations) avec raccord de qualité semi-supérieure </v>
      </c>
      <c r="C182" s="641"/>
      <c r="D182" s="641"/>
      <c r="E182" s="641"/>
      <c r="F182" s="641"/>
      <c r="G182" s="641"/>
      <c r="H182" s="641"/>
      <c r="I182" s="641"/>
      <c r="J182" s="641"/>
      <c r="K182" s="641"/>
      <c r="L182" s="769"/>
      <c r="M182" s="10"/>
    </row>
    <row r="183" spans="2:13" x14ac:dyDescent="0.25">
      <c r="B183" s="770"/>
      <c r="C183" s="647"/>
      <c r="D183" s="647"/>
      <c r="E183" s="647"/>
      <c r="F183" s="647"/>
      <c r="G183" s="647"/>
      <c r="H183" s="647"/>
      <c r="I183" s="647"/>
      <c r="J183" s="647"/>
      <c r="K183" s="647"/>
      <c r="L183" s="771"/>
      <c r="M183" s="10"/>
    </row>
    <row r="184" spans="2:13" x14ac:dyDescent="0.25">
      <c r="B184" s="747" t="str">
        <f>D$31</f>
        <v>tonnes</v>
      </c>
      <c r="C184" s="748"/>
      <c r="D184" s="748"/>
      <c r="E184" s="137"/>
      <c r="F184" s="137"/>
      <c r="G184" s="137"/>
      <c r="H184" s="137"/>
      <c r="I184" s="137"/>
      <c r="J184" s="137"/>
      <c r="K184" s="137"/>
      <c r="L184" s="138"/>
      <c r="M184" s="10"/>
    </row>
    <row r="185" spans="2:13" x14ac:dyDescent="0.25">
      <c r="B185" s="747" t="str">
        <f>D$32</f>
        <v>valeur de vente nette rendue (CAD)</v>
      </c>
      <c r="C185" s="748"/>
      <c r="D185" s="748"/>
      <c r="E185" s="137"/>
      <c r="F185" s="137"/>
      <c r="G185" s="137"/>
      <c r="H185" s="137"/>
      <c r="I185" s="137"/>
      <c r="J185" s="137"/>
      <c r="K185" s="137"/>
      <c r="L185" s="138"/>
      <c r="M185" s="10"/>
    </row>
    <row r="186" spans="2:13" x14ac:dyDescent="0.25">
      <c r="B186" s="747" t="str">
        <f>D$33</f>
        <v>$ / tonne</v>
      </c>
      <c r="C186" s="748"/>
      <c r="D186" s="748"/>
      <c r="E186" s="151" t="str">
        <f>IF(E184=0,"-",E185/E184)</f>
        <v>-</v>
      </c>
      <c r="F186" s="151" t="str">
        <f t="shared" ref="F186:L186" si="27">IF(F184=0,"-",F185/F184)</f>
        <v>-</v>
      </c>
      <c r="G186" s="151" t="str">
        <f t="shared" si="27"/>
        <v>-</v>
      </c>
      <c r="H186" s="151" t="str">
        <f t="shared" si="27"/>
        <v>-</v>
      </c>
      <c r="I186" s="151" t="str">
        <f t="shared" si="27"/>
        <v>-</v>
      </c>
      <c r="J186" s="151" t="str">
        <f t="shared" si="27"/>
        <v>-</v>
      </c>
      <c r="K186" s="151" t="str">
        <f t="shared" si="27"/>
        <v>-</v>
      </c>
      <c r="L186" s="152" t="str">
        <f t="shared" si="27"/>
        <v>-</v>
      </c>
      <c r="M186" s="10"/>
    </row>
    <row r="187" spans="2:13" x14ac:dyDescent="0.25">
      <c r="B187" s="768" t="str">
        <f>B116</f>
        <v xml:space="preserve">Tubage sans soudure P110 (y compris les améliorations) avec raccord API </v>
      </c>
      <c r="C187" s="641"/>
      <c r="D187" s="641"/>
      <c r="E187" s="641"/>
      <c r="F187" s="641"/>
      <c r="G187" s="641"/>
      <c r="H187" s="641"/>
      <c r="I187" s="641"/>
      <c r="J187" s="641"/>
      <c r="K187" s="641"/>
      <c r="L187" s="769"/>
      <c r="M187" s="10"/>
    </row>
    <row r="188" spans="2:13" x14ac:dyDescent="0.25">
      <c r="B188" s="770"/>
      <c r="C188" s="647"/>
      <c r="D188" s="647"/>
      <c r="E188" s="647"/>
      <c r="F188" s="647"/>
      <c r="G188" s="647"/>
      <c r="H188" s="647"/>
      <c r="I188" s="647"/>
      <c r="J188" s="647"/>
      <c r="K188" s="647"/>
      <c r="L188" s="771"/>
      <c r="M188" s="10"/>
    </row>
    <row r="189" spans="2:13" x14ac:dyDescent="0.25">
      <c r="B189" s="747" t="str">
        <f>D$31</f>
        <v>tonnes</v>
      </c>
      <c r="C189" s="748"/>
      <c r="D189" s="748"/>
      <c r="E189" s="137"/>
      <c r="F189" s="137"/>
      <c r="G189" s="137"/>
      <c r="H189" s="137"/>
      <c r="I189" s="137"/>
      <c r="J189" s="137"/>
      <c r="K189" s="137"/>
      <c r="L189" s="138"/>
      <c r="M189" s="10"/>
    </row>
    <row r="190" spans="2:13" x14ac:dyDescent="0.25">
      <c r="B190" s="747" t="str">
        <f>D$32</f>
        <v>valeur de vente nette rendue (CAD)</v>
      </c>
      <c r="C190" s="748"/>
      <c r="D190" s="748"/>
      <c r="E190" s="137"/>
      <c r="F190" s="137"/>
      <c r="G190" s="137"/>
      <c r="H190" s="137"/>
      <c r="I190" s="137"/>
      <c r="J190" s="137"/>
      <c r="K190" s="137"/>
      <c r="L190" s="138"/>
      <c r="M190" s="10"/>
    </row>
    <row r="191" spans="2:13" x14ac:dyDescent="0.25">
      <c r="B191" s="747" t="str">
        <f>D$33</f>
        <v>$ / tonne</v>
      </c>
      <c r="C191" s="748"/>
      <c r="D191" s="748"/>
      <c r="E191" s="151" t="str">
        <f>IF(E189=0,"-",E190/E189)</f>
        <v>-</v>
      </c>
      <c r="F191" s="151" t="str">
        <f t="shared" ref="F191:L191" si="28">IF(F189=0,"-",F190/F189)</f>
        <v>-</v>
      </c>
      <c r="G191" s="151" t="str">
        <f t="shared" si="28"/>
        <v>-</v>
      </c>
      <c r="H191" s="151" t="str">
        <f t="shared" si="28"/>
        <v>-</v>
      </c>
      <c r="I191" s="151" t="str">
        <f t="shared" si="28"/>
        <v>-</v>
      </c>
      <c r="J191" s="151" t="str">
        <f t="shared" si="28"/>
        <v>-</v>
      </c>
      <c r="K191" s="151" t="str">
        <f t="shared" si="28"/>
        <v>-</v>
      </c>
      <c r="L191" s="152" t="str">
        <f t="shared" si="28"/>
        <v>-</v>
      </c>
      <c r="M191" s="10"/>
    </row>
    <row r="192" spans="2:13" x14ac:dyDescent="0.25">
      <c r="B192" s="768" t="str">
        <f>B121</f>
        <v xml:space="preserve">Tubage soudé P110 (y compris les améliorations) avec raccord API </v>
      </c>
      <c r="C192" s="641"/>
      <c r="D192" s="641"/>
      <c r="E192" s="641"/>
      <c r="F192" s="641"/>
      <c r="G192" s="641"/>
      <c r="H192" s="641"/>
      <c r="I192" s="641"/>
      <c r="J192" s="641"/>
      <c r="K192" s="641"/>
      <c r="L192" s="769"/>
      <c r="M192" s="10"/>
    </row>
    <row r="193" spans="2:13" x14ac:dyDescent="0.25">
      <c r="B193" s="770"/>
      <c r="C193" s="647"/>
      <c r="D193" s="647"/>
      <c r="E193" s="647"/>
      <c r="F193" s="647"/>
      <c r="G193" s="647"/>
      <c r="H193" s="647"/>
      <c r="I193" s="647"/>
      <c r="J193" s="647"/>
      <c r="K193" s="647"/>
      <c r="L193" s="771"/>
      <c r="M193" s="10"/>
    </row>
    <row r="194" spans="2:13" x14ac:dyDescent="0.25">
      <c r="B194" s="747" t="str">
        <f>D$31</f>
        <v>tonnes</v>
      </c>
      <c r="C194" s="748"/>
      <c r="D194" s="748"/>
      <c r="E194" s="137"/>
      <c r="F194" s="137"/>
      <c r="G194" s="137"/>
      <c r="H194" s="137"/>
      <c r="I194" s="137"/>
      <c r="J194" s="137"/>
      <c r="K194" s="137"/>
      <c r="L194" s="138"/>
      <c r="M194" s="10"/>
    </row>
    <row r="195" spans="2:13" x14ac:dyDescent="0.25">
      <c r="B195" s="747" t="str">
        <f>D$32</f>
        <v>valeur de vente nette rendue (CAD)</v>
      </c>
      <c r="C195" s="748"/>
      <c r="D195" s="748"/>
      <c r="E195" s="137"/>
      <c r="F195" s="137"/>
      <c r="G195" s="137"/>
      <c r="H195" s="137"/>
      <c r="I195" s="137"/>
      <c r="J195" s="137"/>
      <c r="K195" s="137"/>
      <c r="L195" s="138"/>
      <c r="M195" s="10"/>
    </row>
    <row r="196" spans="2:13" x14ac:dyDescent="0.25">
      <c r="B196" s="747" t="str">
        <f>D$33</f>
        <v>$ / tonne</v>
      </c>
      <c r="C196" s="748"/>
      <c r="D196" s="748"/>
      <c r="E196" s="151" t="str">
        <f>IF(E194=0,"-",E195/E194)</f>
        <v>-</v>
      </c>
      <c r="F196" s="151" t="str">
        <f t="shared" ref="F196:L196" si="29">IF(F194=0,"-",F195/F194)</f>
        <v>-</v>
      </c>
      <c r="G196" s="151" t="str">
        <f t="shared" si="29"/>
        <v>-</v>
      </c>
      <c r="H196" s="151" t="str">
        <f t="shared" si="29"/>
        <v>-</v>
      </c>
      <c r="I196" s="151" t="str">
        <f t="shared" si="29"/>
        <v>-</v>
      </c>
      <c r="J196" s="151" t="str">
        <f t="shared" si="29"/>
        <v>-</v>
      </c>
      <c r="K196" s="151" t="str">
        <f t="shared" si="29"/>
        <v>-</v>
      </c>
      <c r="L196" s="152" t="str">
        <f t="shared" si="29"/>
        <v>-</v>
      </c>
      <c r="M196" s="10"/>
    </row>
    <row r="197" spans="2:13" x14ac:dyDescent="0.25">
      <c r="B197" s="768" t="str">
        <f>B126</f>
        <v>Tubage sans soudure P110 (y compris les améliorations) avec raccord de qualité semi-supérieure</v>
      </c>
      <c r="C197" s="641"/>
      <c r="D197" s="641"/>
      <c r="E197" s="641"/>
      <c r="F197" s="641"/>
      <c r="G197" s="641"/>
      <c r="H197" s="641"/>
      <c r="I197" s="641"/>
      <c r="J197" s="641"/>
      <c r="K197" s="641"/>
      <c r="L197" s="769"/>
      <c r="M197" s="10"/>
    </row>
    <row r="198" spans="2:13" x14ac:dyDescent="0.25">
      <c r="B198" s="770"/>
      <c r="C198" s="647"/>
      <c r="D198" s="647"/>
      <c r="E198" s="647"/>
      <c r="F198" s="647"/>
      <c r="G198" s="647"/>
      <c r="H198" s="647"/>
      <c r="I198" s="647"/>
      <c r="J198" s="647"/>
      <c r="K198" s="647"/>
      <c r="L198" s="771"/>
      <c r="M198" s="10"/>
    </row>
    <row r="199" spans="2:13" x14ac:dyDescent="0.25">
      <c r="B199" s="747" t="str">
        <f>D$31</f>
        <v>tonnes</v>
      </c>
      <c r="C199" s="748"/>
      <c r="D199" s="748"/>
      <c r="E199" s="137"/>
      <c r="F199" s="137"/>
      <c r="G199" s="137"/>
      <c r="H199" s="137"/>
      <c r="I199" s="137"/>
      <c r="J199" s="137"/>
      <c r="K199" s="137"/>
      <c r="L199" s="138"/>
      <c r="M199" s="10"/>
    </row>
    <row r="200" spans="2:13" x14ac:dyDescent="0.25">
      <c r="B200" s="747" t="str">
        <f>D$32</f>
        <v>valeur de vente nette rendue (CAD)</v>
      </c>
      <c r="C200" s="748"/>
      <c r="D200" s="748"/>
      <c r="E200" s="137"/>
      <c r="F200" s="137"/>
      <c r="G200" s="137"/>
      <c r="H200" s="137"/>
      <c r="I200" s="137"/>
      <c r="J200" s="137"/>
      <c r="K200" s="137"/>
      <c r="L200" s="138"/>
      <c r="M200" s="10"/>
    </row>
    <row r="201" spans="2:13" x14ac:dyDescent="0.25">
      <c r="B201" s="747" t="str">
        <f>D$33</f>
        <v>$ / tonne</v>
      </c>
      <c r="C201" s="748"/>
      <c r="D201" s="748"/>
      <c r="E201" s="151" t="str">
        <f>IF(E199=0,"-",E200/E199)</f>
        <v>-</v>
      </c>
      <c r="F201" s="151" t="str">
        <f t="shared" ref="F201:L201" si="30">IF(F199=0,"-",F200/F199)</f>
        <v>-</v>
      </c>
      <c r="G201" s="151" t="str">
        <f t="shared" si="30"/>
        <v>-</v>
      </c>
      <c r="H201" s="151" t="str">
        <f t="shared" si="30"/>
        <v>-</v>
      </c>
      <c r="I201" s="151" t="str">
        <f t="shared" si="30"/>
        <v>-</v>
      </c>
      <c r="J201" s="151" t="str">
        <f t="shared" si="30"/>
        <v>-</v>
      </c>
      <c r="K201" s="151" t="str">
        <f t="shared" si="30"/>
        <v>-</v>
      </c>
      <c r="L201" s="152" t="str">
        <f t="shared" si="30"/>
        <v>-</v>
      </c>
      <c r="M201" s="10"/>
    </row>
    <row r="202" spans="2:13" x14ac:dyDescent="0.25">
      <c r="B202" s="768" t="str">
        <f>B131</f>
        <v>Tubage soudé P110 (y compris les améliorations) avec raccord de qualité semi-supérieure</v>
      </c>
      <c r="C202" s="641"/>
      <c r="D202" s="641"/>
      <c r="E202" s="641"/>
      <c r="F202" s="641"/>
      <c r="G202" s="641"/>
      <c r="H202" s="641"/>
      <c r="I202" s="641"/>
      <c r="J202" s="641"/>
      <c r="K202" s="641"/>
      <c r="L202" s="769"/>
      <c r="M202" s="10"/>
    </row>
    <row r="203" spans="2:13" x14ac:dyDescent="0.25">
      <c r="B203" s="770"/>
      <c r="C203" s="647"/>
      <c r="D203" s="647"/>
      <c r="E203" s="647"/>
      <c r="F203" s="647"/>
      <c r="G203" s="647"/>
      <c r="H203" s="647"/>
      <c r="I203" s="647"/>
      <c r="J203" s="647"/>
      <c r="K203" s="647"/>
      <c r="L203" s="771"/>
      <c r="M203" s="10"/>
    </row>
    <row r="204" spans="2:13" x14ac:dyDescent="0.25">
      <c r="B204" s="747" t="str">
        <f>D$31</f>
        <v>tonnes</v>
      </c>
      <c r="C204" s="748"/>
      <c r="D204" s="748"/>
      <c r="E204" s="137"/>
      <c r="F204" s="137"/>
      <c r="G204" s="137"/>
      <c r="H204" s="137"/>
      <c r="I204" s="137"/>
      <c r="J204" s="137"/>
      <c r="K204" s="137"/>
      <c r="L204" s="138"/>
      <c r="M204" s="10"/>
    </row>
    <row r="205" spans="2:13" x14ac:dyDescent="0.25">
      <c r="B205" s="747" t="str">
        <f>D$32</f>
        <v>valeur de vente nette rendue (CAD)</v>
      </c>
      <c r="C205" s="748"/>
      <c r="D205" s="748"/>
      <c r="E205" s="137"/>
      <c r="F205" s="137"/>
      <c r="G205" s="137"/>
      <c r="H205" s="137"/>
      <c r="I205" s="137"/>
      <c r="J205" s="137"/>
      <c r="K205" s="137"/>
      <c r="L205" s="138"/>
      <c r="M205" s="10"/>
    </row>
    <row r="206" spans="2:13" x14ac:dyDescent="0.25">
      <c r="B206" s="747" t="str">
        <f>D$33</f>
        <v>$ / tonne</v>
      </c>
      <c r="C206" s="748"/>
      <c r="D206" s="748"/>
      <c r="E206" s="151" t="str">
        <f>IF(E204=0,"-",E205/E204)</f>
        <v>-</v>
      </c>
      <c r="F206" s="151" t="str">
        <f t="shared" ref="F206:L206" si="31">IF(F204=0,"-",F205/F204)</f>
        <v>-</v>
      </c>
      <c r="G206" s="151" t="str">
        <f t="shared" si="31"/>
        <v>-</v>
      </c>
      <c r="H206" s="151" t="str">
        <f t="shared" si="31"/>
        <v>-</v>
      </c>
      <c r="I206" s="151" t="str">
        <f t="shared" si="31"/>
        <v>-</v>
      </c>
      <c r="J206" s="151" t="str">
        <f t="shared" si="31"/>
        <v>-</v>
      </c>
      <c r="K206" s="151" t="str">
        <f t="shared" si="31"/>
        <v>-</v>
      </c>
      <c r="L206" s="152" t="str">
        <f t="shared" si="31"/>
        <v>-</v>
      </c>
      <c r="M206" s="10"/>
    </row>
    <row r="207" spans="2:13" x14ac:dyDescent="0.25">
      <c r="B207" s="768" t="str">
        <f>B136</f>
        <v>Tubage sans soudure T95 (y compris les améliorations) avec raccord semi-supérieure</v>
      </c>
      <c r="C207" s="641"/>
      <c r="D207" s="641"/>
      <c r="E207" s="641"/>
      <c r="F207" s="641"/>
      <c r="G207" s="641"/>
      <c r="H207" s="641"/>
      <c r="I207" s="641"/>
      <c r="J207" s="641"/>
      <c r="K207" s="641"/>
      <c r="L207" s="769"/>
      <c r="M207" s="10"/>
    </row>
    <row r="208" spans="2:13" x14ac:dyDescent="0.25">
      <c r="B208" s="770"/>
      <c r="C208" s="647"/>
      <c r="D208" s="647"/>
      <c r="E208" s="647"/>
      <c r="F208" s="647"/>
      <c r="G208" s="647"/>
      <c r="H208" s="647"/>
      <c r="I208" s="647"/>
      <c r="J208" s="647"/>
      <c r="K208" s="647"/>
      <c r="L208" s="771"/>
      <c r="M208" s="10"/>
    </row>
    <row r="209" spans="2:19" x14ac:dyDescent="0.25">
      <c r="B209" s="747" t="str">
        <f>D$31</f>
        <v>tonnes</v>
      </c>
      <c r="C209" s="748"/>
      <c r="D209" s="748"/>
      <c r="E209" s="137"/>
      <c r="F209" s="137"/>
      <c r="G209" s="137"/>
      <c r="H209" s="137"/>
      <c r="I209" s="137"/>
      <c r="J209" s="137"/>
      <c r="K209" s="137"/>
      <c r="L209" s="138"/>
      <c r="M209" s="10"/>
    </row>
    <row r="210" spans="2:19" x14ac:dyDescent="0.25">
      <c r="B210" s="747" t="str">
        <f>D$32</f>
        <v>valeur de vente nette rendue (CAD)</v>
      </c>
      <c r="C210" s="748"/>
      <c r="D210" s="748"/>
      <c r="E210" s="137"/>
      <c r="F210" s="137"/>
      <c r="G210" s="137"/>
      <c r="H210" s="137"/>
      <c r="I210" s="137"/>
      <c r="J210" s="137"/>
      <c r="K210" s="137"/>
      <c r="L210" s="138"/>
      <c r="M210" s="10"/>
    </row>
    <row r="211" spans="2:19" x14ac:dyDescent="0.25">
      <c r="B211" s="747" t="str">
        <f>D$33</f>
        <v>$ / tonne</v>
      </c>
      <c r="C211" s="748"/>
      <c r="D211" s="748"/>
      <c r="E211" s="151" t="str">
        <f>IF(E209=0,"-",E210/E209)</f>
        <v>-</v>
      </c>
      <c r="F211" s="151" t="str">
        <f t="shared" ref="F211:L211" si="32">IF(F209=0,"-",F210/F209)</f>
        <v>-</v>
      </c>
      <c r="G211" s="151" t="str">
        <f t="shared" si="32"/>
        <v>-</v>
      </c>
      <c r="H211" s="151" t="str">
        <f t="shared" si="32"/>
        <v>-</v>
      </c>
      <c r="I211" s="151" t="str">
        <f t="shared" si="32"/>
        <v>-</v>
      </c>
      <c r="J211" s="151" t="str">
        <f t="shared" si="32"/>
        <v>-</v>
      </c>
      <c r="K211" s="151" t="str">
        <f t="shared" si="32"/>
        <v>-</v>
      </c>
      <c r="L211" s="152" t="str">
        <f t="shared" si="32"/>
        <v>-</v>
      </c>
      <c r="M211" s="10"/>
    </row>
    <row r="212" spans="2:19" x14ac:dyDescent="0.25">
      <c r="B212" s="768" t="str">
        <f>B141</f>
        <v>Tubage sans soudure P110S (y compris les améliorations) ou nuance similaire pour milieux modérément acides avec raccord de qualité semi-supérieure</v>
      </c>
      <c r="C212" s="641"/>
      <c r="D212" s="641"/>
      <c r="E212" s="641"/>
      <c r="F212" s="641"/>
      <c r="G212" s="641"/>
      <c r="H212" s="641"/>
      <c r="I212" s="641"/>
      <c r="J212" s="641"/>
      <c r="K212" s="641"/>
      <c r="L212" s="769"/>
      <c r="M212" s="10"/>
    </row>
    <row r="213" spans="2:19" x14ac:dyDescent="0.25">
      <c r="B213" s="770"/>
      <c r="C213" s="647"/>
      <c r="D213" s="647"/>
      <c r="E213" s="647"/>
      <c r="F213" s="647"/>
      <c r="G213" s="647"/>
      <c r="H213" s="647"/>
      <c r="I213" s="647"/>
      <c r="J213" s="647"/>
      <c r="K213" s="647"/>
      <c r="L213" s="771"/>
      <c r="M213" s="10"/>
    </row>
    <row r="214" spans="2:19" x14ac:dyDescent="0.25">
      <c r="B214" s="747" t="str">
        <f>D$31</f>
        <v>tonnes</v>
      </c>
      <c r="C214" s="748"/>
      <c r="D214" s="748"/>
      <c r="E214" s="137"/>
      <c r="F214" s="137"/>
      <c r="G214" s="137"/>
      <c r="H214" s="137"/>
      <c r="I214" s="137"/>
      <c r="J214" s="137"/>
      <c r="K214" s="137"/>
      <c r="L214" s="138"/>
      <c r="M214" s="10"/>
    </row>
    <row r="215" spans="2:19" x14ac:dyDescent="0.25">
      <c r="B215" s="747" t="str">
        <f>D$32</f>
        <v>valeur de vente nette rendue (CAD)</v>
      </c>
      <c r="C215" s="748"/>
      <c r="D215" s="748"/>
      <c r="E215" s="137"/>
      <c r="F215" s="137"/>
      <c r="G215" s="137"/>
      <c r="H215" s="137"/>
      <c r="I215" s="137"/>
      <c r="J215" s="137"/>
      <c r="K215" s="137"/>
      <c r="L215" s="138"/>
      <c r="M215" s="10"/>
    </row>
    <row r="216" spans="2:19" x14ac:dyDescent="0.25">
      <c r="B216" s="747" t="str">
        <f>D$33</f>
        <v>$ / tonne</v>
      </c>
      <c r="C216" s="748"/>
      <c r="D216" s="748"/>
      <c r="E216" s="151" t="str">
        <f>IF(E214=0,"-",E215/E214)</f>
        <v>-</v>
      </c>
      <c r="F216" s="151" t="str">
        <f t="shared" ref="F216:L216" si="33">IF(F214=0,"-",F215/F214)</f>
        <v>-</v>
      </c>
      <c r="G216" s="151" t="str">
        <f t="shared" si="33"/>
        <v>-</v>
      </c>
      <c r="H216" s="151" t="str">
        <f t="shared" si="33"/>
        <v>-</v>
      </c>
      <c r="I216" s="151" t="str">
        <f t="shared" si="33"/>
        <v>-</v>
      </c>
      <c r="J216" s="151" t="str">
        <f t="shared" si="33"/>
        <v>-</v>
      </c>
      <c r="K216" s="151" t="str">
        <f t="shared" si="33"/>
        <v>-</v>
      </c>
      <c r="L216" s="152" t="str">
        <f t="shared" si="33"/>
        <v>-</v>
      </c>
      <c r="M216" s="10"/>
    </row>
    <row r="217" spans="2:19" x14ac:dyDescent="0.25">
      <c r="B217" s="324"/>
      <c r="C217" s="325"/>
      <c r="D217" s="325"/>
      <c r="E217" s="29"/>
      <c r="F217" s="29"/>
      <c r="G217" s="29"/>
      <c r="H217" s="29"/>
      <c r="I217" s="29"/>
      <c r="J217" s="29"/>
      <c r="K217" s="29"/>
      <c r="L217" s="226"/>
      <c r="M217" s="10"/>
    </row>
    <row r="218" spans="2:19" x14ac:dyDescent="0.25">
      <c r="B218" s="527" t="str">
        <f>IF(Intro!$G$20="English",O218,P218)</f>
        <v>Dans le tableau ci-dessous, « Erreur » signifie que les ventes totales des produits de référence de votre entreprise dépassent les ventes totales d'importations de votre entreprise pour cette période. Par conséquent, veuillez modifier les données ci-dessus si nécessaire.</v>
      </c>
      <c r="C218" s="528"/>
      <c r="D218" s="528"/>
      <c r="E218" s="528"/>
      <c r="F218" s="528"/>
      <c r="G218" s="528"/>
      <c r="H218" s="528"/>
      <c r="I218" s="528"/>
      <c r="J218" s="528"/>
      <c r="K218" s="528"/>
      <c r="L218" s="529"/>
      <c r="M218" s="10"/>
      <c r="O218" s="10" t="s">
        <v>363</v>
      </c>
      <c r="P218" s="10" t="s">
        <v>401</v>
      </c>
      <c r="S218" s="38"/>
    </row>
    <row r="219" spans="2:19" x14ac:dyDescent="0.25">
      <c r="B219" s="527"/>
      <c r="C219" s="528"/>
      <c r="D219" s="528"/>
      <c r="E219" s="528"/>
      <c r="F219" s="528"/>
      <c r="G219" s="528"/>
      <c r="H219" s="528"/>
      <c r="I219" s="528"/>
      <c r="J219" s="528"/>
      <c r="K219" s="528"/>
      <c r="L219" s="529"/>
      <c r="M219" s="10"/>
      <c r="S219" s="38"/>
    </row>
    <row r="220" spans="2:19" x14ac:dyDescent="0.25">
      <c r="B220" s="316"/>
      <c r="C220" s="317"/>
      <c r="D220" s="317"/>
      <c r="E220" s="29"/>
      <c r="F220" s="29"/>
      <c r="G220" s="29"/>
      <c r="H220" s="29"/>
      <c r="I220" s="29"/>
      <c r="J220" s="29"/>
      <c r="K220" s="29"/>
      <c r="L220" s="30"/>
      <c r="M220" s="10"/>
      <c r="S220" s="38"/>
    </row>
    <row r="221" spans="2:19" ht="14.1" customHeight="1" x14ac:dyDescent="0.25">
      <c r="B221" s="760" t="str">
        <f>Variables!D66</f>
        <v>Vérification - volume</v>
      </c>
      <c r="C221" s="761"/>
      <c r="D221" s="761"/>
      <c r="E221" s="761"/>
      <c r="F221" s="762"/>
      <c r="G221" s="320">
        <f>G150</f>
        <v>2024</v>
      </c>
      <c r="H221" s="320">
        <f>H150</f>
        <v>2025</v>
      </c>
      <c r="I221" s="320" t="str">
        <f>I150</f>
        <v>janv.-mars 2025</v>
      </c>
      <c r="J221" s="320" t="str">
        <f>J150</f>
        <v>janv.-mars 2026</v>
      </c>
      <c r="K221" s="225"/>
      <c r="L221" s="226"/>
      <c r="M221" s="10"/>
      <c r="O221" s="18"/>
    </row>
    <row r="222" spans="2:19" ht="14.1" customHeight="1" x14ac:dyDescent="0.25">
      <c r="B222" s="757" t="str">
        <f>B169</f>
        <v>tonnes</v>
      </c>
      <c r="C222" s="758"/>
      <c r="D222" s="758"/>
      <c r="E222" s="758"/>
      <c r="F222" s="759"/>
      <c r="G222" s="187" t="str">
        <f>IF(SUM(E169:G169,E174:G174,E179:G179,E184:G184,E189:G189,E194:G194,E199:G199,E204:G204,E209:G209,E214:G214)&gt;H44,Variables!$D$67,Variables!$D$68)</f>
        <v>Correct</v>
      </c>
      <c r="H222" s="187" t="str">
        <f>IF(SUM(H169:K169,H174:K174,H179:K179,H184:K184,H189:K189,H194:K194,H199:K199,H204:K204,H209:K209,H214:K214)&gt;I44,Variables!$D$67,Variables!$D$68)</f>
        <v>Correct</v>
      </c>
      <c r="I222" s="187" t="str">
        <f>IF(SUM(H169,H174,H179,H184,H189,H194,H199,H204,H209,H214)&gt;J44,Variables!$D$67,Variables!$D$68)</f>
        <v>Correct</v>
      </c>
      <c r="J222" s="187" t="str">
        <f>IF(SUM(L169,L174,L179,L184,L189,L194,L199,L204,L209,L214)&gt;K44,Variables!$D$67,Variables!$D$68)</f>
        <v>Correct</v>
      </c>
      <c r="K222" s="225"/>
      <c r="L222" s="226"/>
      <c r="M222" s="10"/>
    </row>
    <row r="223" spans="2:19" ht="27.75" customHeight="1" x14ac:dyDescent="0.25">
      <c r="B223" s="763" t="str">
        <f>IF(Intro!$G$20="English",O223,P223)</f>
        <v>volume - total des ventes au Canada d'importations des produits de référence (Question 4)</v>
      </c>
      <c r="C223" s="764"/>
      <c r="D223" s="764"/>
      <c r="E223" s="764"/>
      <c r="F223" s="765"/>
      <c r="G223" s="191">
        <f>(SUM(E169:G169,E174:G174,E179:G179,E184:G184,E189:G189,E194:G194,E199:G199,E204:G204,E209:G209,E214:G214))</f>
        <v>0</v>
      </c>
      <c r="H223" s="191">
        <f>SUM(H169:K169,H174:K174,H179:K179,H184:K184,H189:K189,H194:K194,H199:K199,H204:K204,H209:K209,H214:K214)</f>
        <v>0</v>
      </c>
      <c r="I223" s="191">
        <f>SUM(H169,H174,H179,H184,H189,H194,H199,H204,H209,H214)</f>
        <v>0</v>
      </c>
      <c r="J223" s="191">
        <f>SUM(L169,L174,L179,L184,L189,L194,L199,L204,L209,L214)</f>
        <v>0</v>
      </c>
      <c r="K223" s="225"/>
      <c r="L223" s="226"/>
      <c r="M223" s="10"/>
      <c r="O223" s="10" t="s">
        <v>447</v>
      </c>
      <c r="P223" s="10" t="s">
        <v>449</v>
      </c>
    </row>
    <row r="224" spans="2:19" ht="14.1" customHeight="1" x14ac:dyDescent="0.25">
      <c r="B224" s="763" t="str">
        <f>IF(Intro!$G$20="English",O224,P224)</f>
        <v>volume - total des ventes au Canada d'importations (Question 1)</v>
      </c>
      <c r="C224" s="764"/>
      <c r="D224" s="764"/>
      <c r="E224" s="764"/>
      <c r="F224" s="765"/>
      <c r="G224" s="187">
        <f>H44</f>
        <v>0</v>
      </c>
      <c r="H224" s="187">
        <f>I44</f>
        <v>0</v>
      </c>
      <c r="I224" s="187">
        <f>J44</f>
        <v>0</v>
      </c>
      <c r="J224" s="187">
        <f>K44</f>
        <v>0</v>
      </c>
      <c r="K224" s="225"/>
      <c r="L224" s="226"/>
      <c r="M224" s="10"/>
      <c r="O224" s="10" t="s">
        <v>440</v>
      </c>
      <c r="P224" s="10" t="s">
        <v>442</v>
      </c>
    </row>
    <row r="225" spans="1:16" x14ac:dyDescent="0.25">
      <c r="B225" s="760" t="str">
        <f>Variables!D70</f>
        <v>Vérification - valeur</v>
      </c>
      <c r="C225" s="761"/>
      <c r="D225" s="761"/>
      <c r="E225" s="761"/>
      <c r="F225" s="762"/>
      <c r="G225" s="320">
        <f>G221</f>
        <v>2024</v>
      </c>
      <c r="H225" s="320">
        <f t="shared" ref="H225:J225" si="34">H221</f>
        <v>2025</v>
      </c>
      <c r="I225" s="320" t="str">
        <f t="shared" si="34"/>
        <v>janv.-mars 2025</v>
      </c>
      <c r="J225" s="320" t="str">
        <f t="shared" si="34"/>
        <v>janv.-mars 2026</v>
      </c>
      <c r="K225" s="225"/>
      <c r="L225" s="226"/>
      <c r="M225" s="10"/>
    </row>
    <row r="226" spans="1:16" ht="14.1" customHeight="1" x14ac:dyDescent="0.25">
      <c r="B226" s="757" t="str">
        <f>B170</f>
        <v>valeur de vente nette rendue (CAD)</v>
      </c>
      <c r="C226" s="758"/>
      <c r="D226" s="758"/>
      <c r="E226" s="758"/>
      <c r="F226" s="759"/>
      <c r="G226" s="187" t="str">
        <f>IF(SUM(E170:G170,E175:G175,E180:G180,E185:G185,E190:G190,E195:G195,E200:G200,E205:G205,E210:G210,E215:G215)&gt;H45,Variables!$D$67,Variables!$D$68)</f>
        <v>Correct</v>
      </c>
      <c r="H226" s="187" t="str">
        <f>IF(SUM(H170:K170,H175:K175,H180:K180,H185:K185,H190:K190,H195:K195,H200:K200,H205:K205,H210:K210,H215:K215)&gt;I45,Variables!$D$67,Variables!$D$68)</f>
        <v>Correct</v>
      </c>
      <c r="I226" s="187" t="str">
        <f>IF(SUM(H170,H175,H180,H185,H190,H195,H200,H205,H210,H215)&gt;J45,Variables!$D$67,Variables!$D$68)</f>
        <v>Correct</v>
      </c>
      <c r="J226" s="187" t="str">
        <f>IF(SUM(L170,L175,L180,L185,L190,L195,L200,L205,L210,L215)&gt;K45,Variables!$D$67,Variables!$D$68)</f>
        <v>Correct</v>
      </c>
      <c r="K226" s="225"/>
      <c r="L226" s="226"/>
      <c r="M226" s="10"/>
    </row>
    <row r="227" spans="1:16" ht="31.5" customHeight="1" x14ac:dyDescent="0.25">
      <c r="B227" s="763" t="str">
        <f>IF(Intro!$G$20="English",O227,P227)</f>
        <v>valeur - total des ventes au Canada d'importations des produits de référence (Question 4)</v>
      </c>
      <c r="C227" s="764"/>
      <c r="D227" s="764"/>
      <c r="E227" s="764"/>
      <c r="F227" s="765"/>
      <c r="G227" s="191">
        <f>SUM(E170:G170,E175:G175,E180:G180,E185:G185,E190:G190,E195:G195,E200:G200,E205:G205,E210:G210,E215:G215)</f>
        <v>0</v>
      </c>
      <c r="H227" s="191">
        <f>SUM(H170:K170,H175:K175,H180:K180,H185:K185,H190:K190,H195:K195,H200:K200,H205:K205,H210:K210,H215:K215)</f>
        <v>0</v>
      </c>
      <c r="I227" s="191">
        <f>SUM(H170,H175,H180,H185,H190,H195,H200,H205,H210,H215)</f>
        <v>0</v>
      </c>
      <c r="J227" s="191">
        <f>SUM(L170,L175,L180,L185,L190,L195,L200,L205,L210,L215)</f>
        <v>0</v>
      </c>
      <c r="K227" s="225"/>
      <c r="L227" s="226"/>
      <c r="M227" s="10"/>
      <c r="O227" s="10" t="s">
        <v>448</v>
      </c>
      <c r="P227" s="10" t="s">
        <v>450</v>
      </c>
    </row>
    <row r="228" spans="1:16" ht="14.1" customHeight="1" x14ac:dyDescent="0.25">
      <c r="B228" s="763" t="str">
        <f>IF(Intro!$G$20="English",O228,P228)</f>
        <v>valeur - total des ventes au Canada d'importations (Question 1)</v>
      </c>
      <c r="C228" s="764"/>
      <c r="D228" s="764"/>
      <c r="E228" s="764"/>
      <c r="F228" s="765"/>
      <c r="G228" s="187">
        <f>H45</f>
        <v>0</v>
      </c>
      <c r="H228" s="187">
        <f>I45</f>
        <v>0</v>
      </c>
      <c r="I228" s="187">
        <f>J45</f>
        <v>0</v>
      </c>
      <c r="J228" s="187">
        <f>K45</f>
        <v>0</v>
      </c>
      <c r="K228" s="225"/>
      <c r="L228" s="226"/>
      <c r="M228" s="10"/>
      <c r="O228" s="10" t="s">
        <v>446</v>
      </c>
      <c r="P228" s="10" t="s">
        <v>444</v>
      </c>
    </row>
    <row r="229" spans="1:16" x14ac:dyDescent="0.25">
      <c r="B229" s="72"/>
      <c r="C229" s="82"/>
      <c r="D229" s="82"/>
      <c r="E229" s="82"/>
      <c r="F229" s="82"/>
      <c r="G229" s="82"/>
      <c r="H229" s="82"/>
      <c r="I229" s="82"/>
      <c r="J229" s="82"/>
      <c r="K229" s="82"/>
      <c r="L229" s="83"/>
      <c r="M229" s="10"/>
    </row>
    <row r="230" spans="1:16" s="44" customFormat="1" x14ac:dyDescent="0.25">
      <c r="A230" s="92"/>
      <c r="B230" s="4"/>
      <c r="C230" s="4"/>
      <c r="D230" s="77"/>
      <c r="E230" s="77"/>
      <c r="F230" s="77"/>
      <c r="G230" s="77"/>
      <c r="H230" s="77"/>
      <c r="I230" s="77"/>
      <c r="J230" s="77"/>
      <c r="K230" s="77"/>
      <c r="L230" s="77"/>
      <c r="N230" s="78"/>
    </row>
    <row r="231" spans="1:16" x14ac:dyDescent="0.25">
      <c r="B231" s="533" t="str">
        <f>IF(Intro!$G$20="English",O231,P231)</f>
        <v>DONNÉES SUR LES IMPORTATIONS POUR LA PÉRIODE D'ENQUÊTE ANTIDUMPING DE L'ASFC</v>
      </c>
      <c r="C231" s="534"/>
      <c r="D231" s="534"/>
      <c r="E231" s="534"/>
      <c r="F231" s="534"/>
      <c r="G231" s="534"/>
      <c r="H231" s="534"/>
      <c r="I231" s="534"/>
      <c r="J231" s="534"/>
      <c r="K231" s="534"/>
      <c r="L231" s="535"/>
      <c r="M231" s="10"/>
      <c r="O231" s="105" t="s">
        <v>337</v>
      </c>
      <c r="P231" s="105" t="s">
        <v>338</v>
      </c>
    </row>
    <row r="232" spans="1:16" s="207" customFormat="1" x14ac:dyDescent="0.25">
      <c r="A232" s="7"/>
      <c r="B232" s="671" t="s">
        <v>18</v>
      </c>
      <c r="C232" s="672"/>
      <c r="D232" s="672"/>
      <c r="E232" s="672"/>
      <c r="F232" s="672"/>
      <c r="G232" s="672"/>
      <c r="H232" s="672"/>
      <c r="I232" s="672"/>
      <c r="J232" s="672"/>
      <c r="K232" s="672"/>
      <c r="L232" s="673"/>
      <c r="M232" s="73"/>
      <c r="O232" s="10"/>
    </row>
    <row r="233" spans="1:16" x14ac:dyDescent="0.25">
      <c r="B233" s="16"/>
      <c r="C233" s="35"/>
      <c r="D233" s="35"/>
      <c r="E233" s="36"/>
      <c r="F233" s="36"/>
      <c r="G233" s="36"/>
      <c r="H233" s="36"/>
      <c r="I233" s="36"/>
      <c r="J233" s="36"/>
      <c r="K233" s="36"/>
      <c r="L233" s="17"/>
      <c r="M233" s="10"/>
    </row>
    <row r="234" spans="1:16" x14ac:dyDescent="0.25">
      <c r="B234" s="530" t="str">
        <f>IF(Intro!$G$20="English",O234,P234)</f>
        <v>Indiquez le volume et la valeur des importations pendant la période d'enquête de dumping de l'ASFC :</v>
      </c>
      <c r="C234" s="531"/>
      <c r="D234" s="531"/>
      <c r="E234" s="531"/>
      <c r="F234" s="531"/>
      <c r="G234" s="531"/>
      <c r="H234" s="531"/>
      <c r="I234" s="531"/>
      <c r="J234" s="531"/>
      <c r="K234" s="531"/>
      <c r="L234" s="532"/>
      <c r="M234" s="10"/>
      <c r="O234" s="18" t="s">
        <v>199</v>
      </c>
      <c r="P234" s="10" t="s">
        <v>200</v>
      </c>
    </row>
    <row r="235" spans="1:16" x14ac:dyDescent="0.25">
      <c r="B235" s="316"/>
      <c r="C235" s="317"/>
      <c r="D235" s="35"/>
      <c r="E235" s="36"/>
      <c r="F235" s="36"/>
      <c r="G235" s="36"/>
      <c r="H235" s="36"/>
      <c r="I235" s="36"/>
      <c r="J235" s="36"/>
      <c r="K235" s="36"/>
      <c r="L235" s="17"/>
      <c r="M235" s="10"/>
      <c r="O235" s="18"/>
    </row>
    <row r="236" spans="1:16" ht="31.5" customHeight="1" x14ac:dyDescent="0.25">
      <c r="B236" s="48"/>
      <c r="C236" s="45"/>
      <c r="D236" s="35"/>
      <c r="E236" s="10"/>
      <c r="F236" s="775" t="str">
        <f>IF(Intro!$G$20="English",Variables!B41,Variables!C41)</f>
        <v>1er décembre 2024 - 30 novembre 2025</v>
      </c>
      <c r="G236" s="776"/>
      <c r="H236" s="225"/>
      <c r="I236" s="225"/>
      <c r="J236" s="225"/>
      <c r="K236" s="225"/>
      <c r="L236" s="71"/>
      <c r="M236" s="10"/>
      <c r="O236" s="47"/>
      <c r="P236" s="47"/>
    </row>
    <row r="237" spans="1:16" x14ac:dyDescent="0.25">
      <c r="B237" s="567" t="str">
        <f>IF(Intro!$G$20="English",O237,P237)</f>
        <v>Importations</v>
      </c>
      <c r="C237" s="748" t="str">
        <f>D26</f>
        <v>tonnes</v>
      </c>
      <c r="D237" s="748"/>
      <c r="E237" s="748"/>
      <c r="F237" s="777"/>
      <c r="G237" s="778"/>
      <c r="H237" s="225"/>
      <c r="I237" s="225"/>
      <c r="J237" s="225"/>
      <c r="K237" s="225"/>
      <c r="L237" s="71"/>
      <c r="M237" s="10"/>
      <c r="O237" s="10" t="s">
        <v>91</v>
      </c>
      <c r="P237" s="10" t="s">
        <v>170</v>
      </c>
    </row>
    <row r="238" spans="1:16" x14ac:dyDescent="0.25">
      <c r="B238" s="567"/>
      <c r="C238" s="748" t="str">
        <f>D27</f>
        <v>valeur d'achat nette rendue (CAD)</v>
      </c>
      <c r="D238" s="748"/>
      <c r="E238" s="748"/>
      <c r="F238" s="777"/>
      <c r="G238" s="778"/>
      <c r="H238" s="225"/>
      <c r="I238" s="225"/>
      <c r="J238" s="225"/>
      <c r="K238" s="225"/>
      <c r="L238" s="71"/>
      <c r="M238" s="10"/>
    </row>
    <row r="239" spans="1:16" x14ac:dyDescent="0.25">
      <c r="B239" s="567"/>
      <c r="C239" s="748" t="str">
        <f>D28</f>
        <v>$ / tonne</v>
      </c>
      <c r="D239" s="748"/>
      <c r="E239" s="748"/>
      <c r="F239" s="779" t="str">
        <f>IF(F237=0,"-",F238/F237)</f>
        <v>-</v>
      </c>
      <c r="G239" s="780"/>
      <c r="H239" s="88"/>
      <c r="I239" s="88"/>
      <c r="J239" s="88"/>
      <c r="K239" s="88"/>
      <c r="L239" s="71"/>
      <c r="M239" s="10"/>
    </row>
    <row r="240" spans="1:16" x14ac:dyDescent="0.25">
      <c r="B240" s="46"/>
      <c r="C240" s="115"/>
      <c r="D240" s="115"/>
      <c r="E240" s="34"/>
      <c r="F240" s="34"/>
      <c r="G240" s="34"/>
      <c r="H240" s="34"/>
      <c r="I240" s="34"/>
      <c r="J240" s="34"/>
      <c r="K240" s="34"/>
      <c r="L240" s="37"/>
      <c r="M240" s="10"/>
    </row>
    <row r="241" spans="1:19" s="44" customFormat="1" x14ac:dyDescent="0.25">
      <c r="A241" s="92"/>
      <c r="B241" s="4"/>
      <c r="C241" s="4"/>
      <c r="D241" s="77"/>
      <c r="E241" s="77"/>
      <c r="F241" s="77"/>
      <c r="G241" s="77"/>
      <c r="H241" s="77"/>
      <c r="I241" s="77"/>
      <c r="J241" s="77"/>
      <c r="K241" s="77"/>
      <c r="L241" s="77"/>
      <c r="N241" s="78"/>
    </row>
    <row r="242" spans="1:19" x14ac:dyDescent="0.25">
      <c r="B242" s="533" t="str">
        <f>UPPER(IF(Intro!$G$20="English",O242,P242))</f>
        <v>DONNÉES SUR LES IMPORTATIONS POUR L'ANALYSE DES IMPORTATIONS MASSIVES</v>
      </c>
      <c r="C242" s="534"/>
      <c r="D242" s="534"/>
      <c r="E242" s="534"/>
      <c r="F242" s="534"/>
      <c r="G242" s="534"/>
      <c r="H242" s="534"/>
      <c r="I242" s="534"/>
      <c r="J242" s="534"/>
      <c r="K242" s="534"/>
      <c r="L242" s="535"/>
      <c r="M242" s="10"/>
      <c r="O242" s="105" t="s">
        <v>339</v>
      </c>
      <c r="P242" s="105" t="s">
        <v>402</v>
      </c>
    </row>
    <row r="243" spans="1:19" s="207" customFormat="1" x14ac:dyDescent="0.25">
      <c r="A243" s="7"/>
      <c r="B243" s="671" t="s">
        <v>19</v>
      </c>
      <c r="C243" s="672"/>
      <c r="D243" s="672"/>
      <c r="E243" s="672"/>
      <c r="F243" s="672"/>
      <c r="G243" s="672"/>
      <c r="H243" s="672"/>
      <c r="I243" s="672"/>
      <c r="J243" s="672"/>
      <c r="K243" s="672"/>
      <c r="L243" s="673"/>
      <c r="M243" s="73"/>
      <c r="O243" s="10"/>
    </row>
    <row r="244" spans="1:19" x14ac:dyDescent="0.25">
      <c r="B244" s="16"/>
      <c r="C244" s="35"/>
      <c r="D244" s="35"/>
      <c r="E244" s="36"/>
      <c r="F244" s="36"/>
      <c r="G244" s="36"/>
      <c r="H244" s="36"/>
      <c r="I244" s="36"/>
      <c r="J244" s="36"/>
      <c r="K244" s="36"/>
      <c r="L244" s="17"/>
      <c r="M244" s="10"/>
    </row>
    <row r="245" spans="1:19" x14ac:dyDescent="0.25">
      <c r="B245" s="530" t="str">
        <f>IF(Intro!$G$20="English",O245,P245)</f>
        <v>Indiquez le volume des importations et le stock de clôture au Canada des marchandises provenant de l'exportateur décrit ci-dessus :</v>
      </c>
      <c r="C245" s="531"/>
      <c r="D245" s="531"/>
      <c r="E245" s="531"/>
      <c r="F245" s="531"/>
      <c r="G245" s="531"/>
      <c r="H245" s="531"/>
      <c r="I245" s="531"/>
      <c r="J245" s="531"/>
      <c r="K245" s="531"/>
      <c r="L245" s="532"/>
      <c r="M245" s="10"/>
      <c r="O245" s="18" t="s">
        <v>194</v>
      </c>
      <c r="P245" s="10" t="s">
        <v>404</v>
      </c>
    </row>
    <row r="246" spans="1:19" x14ac:dyDescent="0.25">
      <c r="B246" s="316"/>
      <c r="C246" s="317"/>
      <c r="D246" s="35"/>
      <c r="E246" s="36"/>
      <c r="F246" s="36"/>
      <c r="G246" s="36"/>
      <c r="H246" s="36"/>
      <c r="I246" s="36"/>
      <c r="J246" s="36"/>
      <c r="K246" s="36"/>
      <c r="L246" s="17"/>
      <c r="M246" s="10"/>
      <c r="O246" s="18"/>
    </row>
    <row r="247" spans="1:19" x14ac:dyDescent="0.25">
      <c r="B247" s="316"/>
      <c r="C247" s="317"/>
      <c r="D247" s="35"/>
      <c r="E247" s="323" t="str">
        <f>IF(Intro!$G$20="English",Variables!B83,Variables!C83)</f>
        <v>T2 2024</v>
      </c>
      <c r="F247" s="323" t="str">
        <f>IF(Intro!$G$20="English",Variables!B84,Variables!C84)</f>
        <v>T3 2024</v>
      </c>
      <c r="G247" s="323" t="str">
        <f>IF(Intro!$G$20="English",Variables!B74,Variables!C74)</f>
        <v>T4 2024</v>
      </c>
      <c r="H247" s="323" t="str">
        <f>IF(Intro!$G$20="English",Variables!B75,Variables!C75)</f>
        <v>T1 2025</v>
      </c>
      <c r="I247" s="323" t="str">
        <f>IF(Intro!$G$20="English",Variables!B76,Variables!C76)</f>
        <v>T2 2025</v>
      </c>
      <c r="J247" s="323" t="str">
        <f>IF(Intro!$G$20="English",Variables!B77,Variables!C77)</f>
        <v>T3 2025</v>
      </c>
      <c r="K247" s="323" t="str">
        <f>IF(Intro!$G$20="English",Variables!B78,Variables!C78)</f>
        <v>T4 2025</v>
      </c>
      <c r="L247" s="323" t="str">
        <f>IF(Intro!$G$20="English",Variables!B79,Variables!C79)</f>
        <v>T1 2026</v>
      </c>
      <c r="M247" s="10"/>
      <c r="O247" s="18"/>
    </row>
    <row r="248" spans="1:19" x14ac:dyDescent="0.25">
      <c r="B248" s="745" t="str">
        <f>B237</f>
        <v>Importations</v>
      </c>
      <c r="C248" s="746"/>
      <c r="D248" s="326" t="str">
        <f>C237</f>
        <v>tonnes</v>
      </c>
      <c r="E248" s="181"/>
      <c r="F248" s="181"/>
      <c r="G248" s="181"/>
      <c r="H248" s="181"/>
      <c r="I248" s="181"/>
      <c r="J248" s="181"/>
      <c r="K248" s="181"/>
      <c r="L248" s="181"/>
      <c r="M248" s="10"/>
    </row>
    <row r="249" spans="1:19" x14ac:dyDescent="0.25">
      <c r="B249" s="745" t="str">
        <f>IF(Intro!$G$20="English",O249,P249)</f>
        <v>Stock de clôture</v>
      </c>
      <c r="C249" s="746"/>
      <c r="D249" s="326" t="str">
        <f>C237</f>
        <v>tonnes</v>
      </c>
      <c r="E249" s="181"/>
      <c r="F249" s="181"/>
      <c r="G249" s="181"/>
      <c r="H249" s="181"/>
      <c r="I249" s="181"/>
      <c r="J249" s="181"/>
      <c r="K249" s="181"/>
      <c r="L249" s="181"/>
      <c r="M249" s="10"/>
      <c r="O249" s="10" t="s">
        <v>195</v>
      </c>
      <c r="P249" s="10" t="s">
        <v>403</v>
      </c>
    </row>
    <row r="250" spans="1:19" x14ac:dyDescent="0.25">
      <c r="B250" s="316"/>
      <c r="C250" s="317"/>
      <c r="D250" s="317"/>
      <c r="E250" s="29"/>
      <c r="F250" s="29"/>
      <c r="G250" s="29"/>
      <c r="H250" s="29"/>
      <c r="I250" s="29"/>
      <c r="J250" s="29"/>
      <c r="K250" s="29"/>
      <c r="L250" s="30"/>
      <c r="M250" s="10"/>
    </row>
    <row r="251" spans="1:19" x14ac:dyDescent="0.25">
      <c r="B251" s="527" t="str">
        <f>IF(Intro!$G$20="English",O251,P251)</f>
        <v>Dans le tableau ci-dessous, « Erreur » signifie que la somme des importations trimestrielles déclarées ci-dessus dépasse les importations annuelles déclarées à la question 1. Par conséquent, veuillez modifier les données si nécessaire.</v>
      </c>
      <c r="C251" s="528"/>
      <c r="D251" s="528"/>
      <c r="E251" s="528"/>
      <c r="F251" s="528"/>
      <c r="G251" s="528"/>
      <c r="H251" s="528"/>
      <c r="I251" s="528"/>
      <c r="J251" s="528"/>
      <c r="K251" s="528"/>
      <c r="L251" s="529"/>
      <c r="M251" s="10"/>
      <c r="O251" s="10" t="s">
        <v>457</v>
      </c>
      <c r="P251" s="10" t="s">
        <v>458</v>
      </c>
      <c r="S251" s="38"/>
    </row>
    <row r="252" spans="1:19" x14ac:dyDescent="0.25">
      <c r="B252" s="527"/>
      <c r="C252" s="528"/>
      <c r="D252" s="528"/>
      <c r="E252" s="528"/>
      <c r="F252" s="528"/>
      <c r="G252" s="528"/>
      <c r="H252" s="528"/>
      <c r="I252" s="528"/>
      <c r="J252" s="528"/>
      <c r="K252" s="528"/>
      <c r="L252" s="529"/>
      <c r="M252" s="10"/>
      <c r="S252" s="38"/>
    </row>
    <row r="253" spans="1:19" x14ac:dyDescent="0.25">
      <c r="B253" s="313"/>
      <c r="C253" s="314"/>
      <c r="D253" s="314"/>
      <c r="E253" s="314"/>
      <c r="F253" s="314"/>
      <c r="G253" s="314"/>
      <c r="H253" s="314"/>
      <c r="I253" s="314"/>
      <c r="J253" s="314"/>
      <c r="K253" s="314"/>
      <c r="L253" s="315"/>
      <c r="M253" s="10"/>
      <c r="S253" s="38"/>
    </row>
    <row r="254" spans="1:19" x14ac:dyDescent="0.25">
      <c r="B254" s="192"/>
      <c r="C254" s="179"/>
      <c r="D254" s="194"/>
      <c r="E254" s="45"/>
      <c r="F254" s="320">
        <f>G254-1</f>
        <v>2025</v>
      </c>
      <c r="G254" s="320">
        <f>Variables!B8</f>
        <v>2026</v>
      </c>
      <c r="H254" s="193"/>
      <c r="I254" s="225"/>
      <c r="J254" s="225"/>
      <c r="K254" s="225"/>
      <c r="L254" s="160"/>
      <c r="M254" s="10"/>
      <c r="O254" s="18"/>
    </row>
    <row r="255" spans="1:19" ht="14.45" customHeight="1" x14ac:dyDescent="0.25">
      <c r="B255" s="192"/>
      <c r="C255" s="199"/>
      <c r="D255" s="781" t="str">
        <f>B221</f>
        <v>Vérification - volume</v>
      </c>
      <c r="E255" s="782"/>
      <c r="F255" s="187" t="str">
        <f>IF(SUM(H248+I248+J248+K248)&gt;I26,Variables!$D$67,Variables!$D$68)</f>
        <v>Correct</v>
      </c>
      <c r="G255" s="187" t="str">
        <f>IF(SUM(L248)&gt;K26,Variables!$D$67,Variables!$D$68)</f>
        <v>Correct</v>
      </c>
      <c r="H255" s="193"/>
      <c r="I255" s="225"/>
      <c r="J255" s="225"/>
      <c r="K255" s="225"/>
      <c r="L255" s="160"/>
      <c r="M255" s="10"/>
    </row>
    <row r="256" spans="1:19" s="44" customFormat="1" x14ac:dyDescent="0.25">
      <c r="A256" s="92"/>
      <c r="B256" s="195"/>
      <c r="C256" s="196"/>
      <c r="D256" s="197"/>
      <c r="E256" s="197"/>
      <c r="F256" s="197"/>
      <c r="G256" s="197"/>
      <c r="H256" s="197"/>
      <c r="I256" s="197"/>
      <c r="J256" s="197"/>
      <c r="K256" s="197"/>
      <c r="L256" s="198"/>
      <c r="N256" s="78"/>
    </row>
    <row r="257" spans="1:18" s="207" customFormat="1" x14ac:dyDescent="0.25">
      <c r="A257" s="7"/>
      <c r="B257" s="21" t="s">
        <v>20</v>
      </c>
      <c r="C257" s="22"/>
      <c r="D257" s="22"/>
      <c r="E257" s="23"/>
      <c r="F257" s="23"/>
      <c r="G257" s="23"/>
      <c r="H257" s="23"/>
      <c r="I257" s="23"/>
      <c r="J257" s="23"/>
      <c r="K257" s="23"/>
      <c r="L257" s="24"/>
      <c r="M257" s="73"/>
    </row>
    <row r="258" spans="1:18" s="38" customFormat="1" x14ac:dyDescent="0.25">
      <c r="A258" s="49"/>
      <c r="B258" s="53"/>
      <c r="C258" s="93"/>
      <c r="D258" s="93"/>
      <c r="E258" s="93"/>
      <c r="F258" s="93"/>
      <c r="G258" s="93"/>
      <c r="H258" s="93"/>
      <c r="I258" s="93"/>
      <c r="J258" s="93"/>
      <c r="K258" s="93"/>
      <c r="L258" s="54"/>
      <c r="O258" s="10"/>
      <c r="P258" s="10"/>
      <c r="Q258" s="10"/>
      <c r="R258" s="10"/>
    </row>
    <row r="259" spans="1:18" s="38" customFormat="1" x14ac:dyDescent="0.25">
      <c r="A259" s="49"/>
      <c r="B259" s="527" t="str">
        <f>IF(Intro!$G$20="English",O259,P259)</f>
        <v>Décrivez tous les facteurs (par exemple, les retards d’expédition, la saisonnalité, etc.) qui pourraient expliquer la tendance générale des volumes d’importation trimestriels et des stocks finals de votre entreprise, comme indiqué dans la question 6.</v>
      </c>
      <c r="C259" s="528"/>
      <c r="D259" s="528"/>
      <c r="E259" s="528"/>
      <c r="F259" s="528"/>
      <c r="G259" s="528"/>
      <c r="H259" s="528"/>
      <c r="I259" s="528"/>
      <c r="J259" s="528"/>
      <c r="K259" s="528"/>
      <c r="L259" s="529"/>
      <c r="O259" s="10" t="s">
        <v>375</v>
      </c>
      <c r="P259" s="10" t="s">
        <v>376</v>
      </c>
      <c r="Q259" s="10"/>
      <c r="R259" s="10"/>
    </row>
    <row r="260" spans="1:18" s="38" customFormat="1" x14ac:dyDescent="0.25">
      <c r="A260" s="49"/>
      <c r="B260" s="527"/>
      <c r="C260" s="528"/>
      <c r="D260" s="528"/>
      <c r="E260" s="528"/>
      <c r="F260" s="528"/>
      <c r="G260" s="528"/>
      <c r="H260" s="528"/>
      <c r="I260" s="528"/>
      <c r="J260" s="528"/>
      <c r="K260" s="528"/>
      <c r="L260" s="529"/>
      <c r="O260" s="10"/>
      <c r="P260" s="10"/>
      <c r="Q260" s="10"/>
      <c r="R260" s="10"/>
    </row>
    <row r="261" spans="1:18" s="38" customFormat="1" x14ac:dyDescent="0.25">
      <c r="A261" s="49"/>
      <c r="B261" s="53"/>
      <c r="C261" s="93"/>
      <c r="D261" s="93"/>
      <c r="E261" s="93"/>
      <c r="F261" s="93"/>
      <c r="G261" s="93"/>
      <c r="H261" s="93"/>
      <c r="I261" s="93"/>
      <c r="J261" s="93"/>
      <c r="K261" s="93"/>
      <c r="L261" s="54"/>
      <c r="O261" s="10"/>
      <c r="P261" s="10"/>
      <c r="Q261" s="10"/>
      <c r="R261" s="10"/>
    </row>
    <row r="262" spans="1:18" s="207" customFormat="1" x14ac:dyDescent="0.25">
      <c r="A262" s="8"/>
      <c r="B262" s="663"/>
      <c r="C262" s="664"/>
      <c r="D262" s="664"/>
      <c r="E262" s="664"/>
      <c r="F262" s="664"/>
      <c r="G262" s="664"/>
      <c r="H262" s="664"/>
      <c r="I262" s="664"/>
      <c r="J262" s="664"/>
      <c r="K262" s="664"/>
      <c r="L262" s="665"/>
      <c r="M262" s="38"/>
    </row>
    <row r="263" spans="1:18" s="207" customFormat="1" x14ac:dyDescent="0.25">
      <c r="A263" s="8"/>
      <c r="B263" s="663"/>
      <c r="C263" s="664"/>
      <c r="D263" s="664"/>
      <c r="E263" s="664"/>
      <c r="F263" s="664"/>
      <c r="G263" s="664"/>
      <c r="H263" s="664"/>
      <c r="I263" s="664"/>
      <c r="J263" s="664"/>
      <c r="K263" s="664"/>
      <c r="L263" s="665"/>
      <c r="M263" s="38"/>
    </row>
    <row r="264" spans="1:18" s="207" customFormat="1" x14ac:dyDescent="0.25">
      <c r="A264" s="8"/>
      <c r="B264" s="663"/>
      <c r="C264" s="664"/>
      <c r="D264" s="664"/>
      <c r="E264" s="664"/>
      <c r="F264" s="664"/>
      <c r="G264" s="664"/>
      <c r="H264" s="664"/>
      <c r="I264" s="664"/>
      <c r="J264" s="664"/>
      <c r="K264" s="664"/>
      <c r="L264" s="665"/>
      <c r="M264" s="38"/>
    </row>
    <row r="265" spans="1:18" s="207" customFormat="1" x14ac:dyDescent="0.25">
      <c r="A265" s="8"/>
      <c r="B265" s="663"/>
      <c r="C265" s="664"/>
      <c r="D265" s="664"/>
      <c r="E265" s="664"/>
      <c r="F265" s="664"/>
      <c r="G265" s="664"/>
      <c r="H265" s="664"/>
      <c r="I265" s="664"/>
      <c r="J265" s="664"/>
      <c r="K265" s="664"/>
      <c r="L265" s="665"/>
      <c r="M265" s="38"/>
    </row>
    <row r="266" spans="1:18" s="207" customFormat="1" x14ac:dyDescent="0.25">
      <c r="A266" s="8"/>
      <c r="B266" s="663"/>
      <c r="C266" s="664"/>
      <c r="D266" s="664"/>
      <c r="E266" s="664"/>
      <c r="F266" s="664"/>
      <c r="G266" s="664"/>
      <c r="H266" s="664"/>
      <c r="I266" s="664"/>
      <c r="J266" s="664"/>
      <c r="K266" s="664"/>
      <c r="L266" s="665"/>
      <c r="M266" s="38"/>
    </row>
    <row r="267" spans="1:18" s="207" customFormat="1" x14ac:dyDescent="0.25">
      <c r="A267" s="8"/>
      <c r="B267" s="663"/>
      <c r="C267" s="664"/>
      <c r="D267" s="664"/>
      <c r="E267" s="664"/>
      <c r="F267" s="664"/>
      <c r="G267" s="664"/>
      <c r="H267" s="664"/>
      <c r="I267" s="664"/>
      <c r="J267" s="664"/>
      <c r="K267" s="664"/>
      <c r="L267" s="665"/>
      <c r="M267" s="38"/>
    </row>
    <row r="268" spans="1:18" s="207" customFormat="1" x14ac:dyDescent="0.25">
      <c r="A268" s="8"/>
      <c r="B268" s="663"/>
      <c r="C268" s="664"/>
      <c r="D268" s="664"/>
      <c r="E268" s="664"/>
      <c r="F268" s="664"/>
      <c r="G268" s="664"/>
      <c r="H268" s="664"/>
      <c r="I268" s="664"/>
      <c r="J268" s="664"/>
      <c r="K268" s="664"/>
      <c r="L268" s="665"/>
      <c r="M268" s="38"/>
    </row>
    <row r="269" spans="1:18" s="207" customFormat="1" x14ac:dyDescent="0.25">
      <c r="A269" s="8"/>
      <c r="B269" s="663"/>
      <c r="C269" s="664"/>
      <c r="D269" s="664"/>
      <c r="E269" s="664"/>
      <c r="F269" s="664"/>
      <c r="G269" s="664"/>
      <c r="H269" s="664"/>
      <c r="I269" s="664"/>
      <c r="J269" s="664"/>
      <c r="K269" s="664"/>
      <c r="L269" s="665"/>
      <c r="M269" s="38"/>
    </row>
    <row r="270" spans="1:18" s="38" customFormat="1" x14ac:dyDescent="0.25">
      <c r="A270" s="49"/>
      <c r="B270" s="50"/>
      <c r="C270" s="51"/>
      <c r="D270" s="51"/>
      <c r="E270" s="51"/>
      <c r="F270" s="51"/>
      <c r="G270" s="51"/>
      <c r="H270" s="51"/>
      <c r="I270" s="51"/>
      <c r="J270" s="51"/>
      <c r="K270" s="51"/>
      <c r="L270" s="52"/>
      <c r="O270" s="10"/>
      <c r="P270" s="10"/>
      <c r="Q270" s="10"/>
      <c r="R270" s="10"/>
    </row>
  </sheetData>
  <sheetProtection algorithmName="SHA-512" hashValue="eJgsDo7JaBI5hkKLY2SuFbRAUl0lJyFQ1RepVvQBJuC3lyzngZ+m/B8xT3dBIwiKr3LWUAT45+mo5dGLDGGGVw==" saltValue="RoRqWIbZUJo8QFaBMvm8GQ==" spinCount="100000" sheet="1" objects="1" scenarios="1" selectLockedCells="1"/>
  <mergeCells count="207">
    <mergeCell ref="B249:C249"/>
    <mergeCell ref="B251:L252"/>
    <mergeCell ref="D255:E255"/>
    <mergeCell ref="B259:L260"/>
    <mergeCell ref="B262:L269"/>
    <mergeCell ref="C239:E239"/>
    <mergeCell ref="F239:G239"/>
    <mergeCell ref="B242:L242"/>
    <mergeCell ref="B243:L243"/>
    <mergeCell ref="B245:L245"/>
    <mergeCell ref="B248:C248"/>
    <mergeCell ref="B228:F228"/>
    <mergeCell ref="B231:L231"/>
    <mergeCell ref="B232:L232"/>
    <mergeCell ref="B234:L234"/>
    <mergeCell ref="F236:G236"/>
    <mergeCell ref="B237:B239"/>
    <mergeCell ref="C237:E237"/>
    <mergeCell ref="F237:G237"/>
    <mergeCell ref="C238:E238"/>
    <mergeCell ref="F238:G238"/>
    <mergeCell ref="B222:F222"/>
    <mergeCell ref="B223:F223"/>
    <mergeCell ref="B224:F224"/>
    <mergeCell ref="B225:F225"/>
    <mergeCell ref="B226:F226"/>
    <mergeCell ref="B227:F227"/>
    <mergeCell ref="B212:L213"/>
    <mergeCell ref="B214:D214"/>
    <mergeCell ref="B215:D215"/>
    <mergeCell ref="B216:D216"/>
    <mergeCell ref="B218:L219"/>
    <mergeCell ref="B221:F221"/>
    <mergeCell ref="B205:D205"/>
    <mergeCell ref="B206:D206"/>
    <mergeCell ref="B207:L208"/>
    <mergeCell ref="B209:D209"/>
    <mergeCell ref="B210:D210"/>
    <mergeCell ref="B211:D211"/>
    <mergeCell ref="B197:L198"/>
    <mergeCell ref="B199:D199"/>
    <mergeCell ref="B200:D200"/>
    <mergeCell ref="B201:D201"/>
    <mergeCell ref="B202:L203"/>
    <mergeCell ref="B204:D204"/>
    <mergeCell ref="B190:D190"/>
    <mergeCell ref="B191:D191"/>
    <mergeCell ref="B192:L193"/>
    <mergeCell ref="B194:D194"/>
    <mergeCell ref="B195:D195"/>
    <mergeCell ref="B196:D196"/>
    <mergeCell ref="B182:L183"/>
    <mergeCell ref="B184:D184"/>
    <mergeCell ref="B185:D185"/>
    <mergeCell ref="B186:D186"/>
    <mergeCell ref="B187:L188"/>
    <mergeCell ref="B189:D189"/>
    <mergeCell ref="B175:D175"/>
    <mergeCell ref="B176:D176"/>
    <mergeCell ref="B177:L178"/>
    <mergeCell ref="B179:D179"/>
    <mergeCell ref="B180:D180"/>
    <mergeCell ref="B181:D181"/>
    <mergeCell ref="B167:L168"/>
    <mergeCell ref="B169:D169"/>
    <mergeCell ref="B170:D170"/>
    <mergeCell ref="B171:D171"/>
    <mergeCell ref="B172:L173"/>
    <mergeCell ref="B174:D174"/>
    <mergeCell ref="B157:F157"/>
    <mergeCell ref="B160:L160"/>
    <mergeCell ref="B161:L161"/>
    <mergeCell ref="B163:L163"/>
    <mergeCell ref="B164:L164"/>
    <mergeCell ref="B166:D166"/>
    <mergeCell ref="B151:F151"/>
    <mergeCell ref="B152:F152"/>
    <mergeCell ref="B153:F153"/>
    <mergeCell ref="B154:F154"/>
    <mergeCell ref="B155:F155"/>
    <mergeCell ref="B156:F156"/>
    <mergeCell ref="B141:L142"/>
    <mergeCell ref="B143:D143"/>
    <mergeCell ref="B144:D144"/>
    <mergeCell ref="B145:D145"/>
    <mergeCell ref="B147:L148"/>
    <mergeCell ref="B150:F150"/>
    <mergeCell ref="B134:D134"/>
    <mergeCell ref="B135:D135"/>
    <mergeCell ref="B136:L137"/>
    <mergeCell ref="B138:D138"/>
    <mergeCell ref="B139:D139"/>
    <mergeCell ref="B140:D140"/>
    <mergeCell ref="B126:L127"/>
    <mergeCell ref="B128:D128"/>
    <mergeCell ref="B129:D129"/>
    <mergeCell ref="B130:D130"/>
    <mergeCell ref="B131:L132"/>
    <mergeCell ref="B133:D133"/>
    <mergeCell ref="B119:D119"/>
    <mergeCell ref="B120:D120"/>
    <mergeCell ref="B121:L122"/>
    <mergeCell ref="B123:D123"/>
    <mergeCell ref="B124:D124"/>
    <mergeCell ref="B125:D125"/>
    <mergeCell ref="B111:L112"/>
    <mergeCell ref="B113:D113"/>
    <mergeCell ref="B114:D114"/>
    <mergeCell ref="B115:D115"/>
    <mergeCell ref="B116:L117"/>
    <mergeCell ref="B118:D118"/>
    <mergeCell ref="B104:D104"/>
    <mergeCell ref="B105:D105"/>
    <mergeCell ref="B106:L107"/>
    <mergeCell ref="B108:D108"/>
    <mergeCell ref="B109:D109"/>
    <mergeCell ref="B110:D110"/>
    <mergeCell ref="B96:L97"/>
    <mergeCell ref="B98:D98"/>
    <mergeCell ref="B99:D99"/>
    <mergeCell ref="B100:D100"/>
    <mergeCell ref="B101:L102"/>
    <mergeCell ref="B103:D103"/>
    <mergeCell ref="B86:F86"/>
    <mergeCell ref="B87:F87"/>
    <mergeCell ref="B90:L90"/>
    <mergeCell ref="B91:L91"/>
    <mergeCell ref="B93:L93"/>
    <mergeCell ref="B95:D95"/>
    <mergeCell ref="B80:F80"/>
    <mergeCell ref="B81:F81"/>
    <mergeCell ref="B82:F82"/>
    <mergeCell ref="B83:F83"/>
    <mergeCell ref="B84:F84"/>
    <mergeCell ref="B85:F85"/>
    <mergeCell ref="B71:D71"/>
    <mergeCell ref="B72:L72"/>
    <mergeCell ref="B73:D73"/>
    <mergeCell ref="B74:D74"/>
    <mergeCell ref="B75:D75"/>
    <mergeCell ref="B77:L78"/>
    <mergeCell ref="B65:D65"/>
    <mergeCell ref="B66:D66"/>
    <mergeCell ref="B67:D67"/>
    <mergeCell ref="B68:L68"/>
    <mergeCell ref="B69:D69"/>
    <mergeCell ref="B70:D70"/>
    <mergeCell ref="B59:D59"/>
    <mergeCell ref="B60:L60"/>
    <mergeCell ref="B61:D61"/>
    <mergeCell ref="B62:D62"/>
    <mergeCell ref="B63:D63"/>
    <mergeCell ref="B64:L64"/>
    <mergeCell ref="B52:L52"/>
    <mergeCell ref="B53:L53"/>
    <mergeCell ref="B55:D55"/>
    <mergeCell ref="B56:L56"/>
    <mergeCell ref="B57:D57"/>
    <mergeCell ref="B58:D58"/>
    <mergeCell ref="B44:C46"/>
    <mergeCell ref="D44:F44"/>
    <mergeCell ref="D45:F45"/>
    <mergeCell ref="D46:F46"/>
    <mergeCell ref="B49:L49"/>
    <mergeCell ref="B50:L50"/>
    <mergeCell ref="B37:K37"/>
    <mergeCell ref="B38:C40"/>
    <mergeCell ref="D38:F38"/>
    <mergeCell ref="D39:F39"/>
    <mergeCell ref="D40:F40"/>
    <mergeCell ref="B41:C43"/>
    <mergeCell ref="D41:F41"/>
    <mergeCell ref="D42:F42"/>
    <mergeCell ref="D43:F43"/>
    <mergeCell ref="B30:K30"/>
    <mergeCell ref="B31:C33"/>
    <mergeCell ref="D31:F31"/>
    <mergeCell ref="D32:F32"/>
    <mergeCell ref="D33:F33"/>
    <mergeCell ref="B34:C36"/>
    <mergeCell ref="D34:F34"/>
    <mergeCell ref="D35:F35"/>
    <mergeCell ref="D36:F36"/>
    <mergeCell ref="B25:K25"/>
    <mergeCell ref="B26:C28"/>
    <mergeCell ref="D26:F26"/>
    <mergeCell ref="D27:F27"/>
    <mergeCell ref="D28:F28"/>
    <mergeCell ref="B29:K29"/>
    <mergeCell ref="B18:L18"/>
    <mergeCell ref="B19:L19"/>
    <mergeCell ref="B21:F21"/>
    <mergeCell ref="G21:K21"/>
    <mergeCell ref="B22:F22"/>
    <mergeCell ref="G22:K22"/>
    <mergeCell ref="B11:L11"/>
    <mergeCell ref="B12:L12"/>
    <mergeCell ref="B13:L13"/>
    <mergeCell ref="B14:L14"/>
    <mergeCell ref="B15:L15"/>
    <mergeCell ref="B16:L16"/>
    <mergeCell ref="B4:L4"/>
    <mergeCell ref="B5:L5"/>
    <mergeCell ref="B6:L6"/>
    <mergeCell ref="B8:L8"/>
    <mergeCell ref="B9:L9"/>
    <mergeCell ref="B10:L10"/>
  </mergeCells>
  <conditionalFormatting sqref="F255:G255">
    <cfRule type="cellIs" dxfId="48" priority="5" operator="equal">
      <formula>"Error"</formula>
    </cfRule>
  </conditionalFormatting>
  <conditionalFormatting sqref="G81:J83 G85:J87">
    <cfRule type="cellIs" dxfId="47" priority="4" operator="equal">
      <formula>"Error"</formula>
    </cfRule>
  </conditionalFormatting>
  <conditionalFormatting sqref="G151:J153 G155:J157">
    <cfRule type="cellIs" dxfId="46" priority="3" operator="equal">
      <formula>"Error"</formula>
    </cfRule>
  </conditionalFormatting>
  <conditionalFormatting sqref="G222:J224">
    <cfRule type="cellIs" dxfId="45" priority="1" operator="equal">
      <formula>"Error"</formula>
    </cfRule>
  </conditionalFormatting>
  <conditionalFormatting sqref="G226:J228">
    <cfRule type="cellIs" dxfId="44" priority="2" operator="equal">
      <formula>"Error"</formula>
    </cfRule>
  </conditionalFormatting>
  <dataValidations count="4">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21:L122 E248:L249 F237:G238 E199:L200 E194:L195 E189:L190 E184:L185 E179:L180 E174:L175 E169:L170 E133:L134 E128:L129 E123:L124 E118:L119 E113:L114 E108:L109 E103:L104 E98:L99 E73:L74 E69:L70 E65:L66 E61:L62 E57:L58 G34:K35 G31:K32 G26:K27 G41:K42 G38:K39 E143:L144 E138:L139 E209:L210 E204:L205 E214:L215" xr:uid="{0CF4CADA-1EE6-4276-8ED9-1EE801309D22}">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60 F239 E67:L67 E71:L71 E140:L140 E130:L130 G43:K46 E63:L63 E59:L59 E75:L75 E100:L100 E105:L105 E110:L110 E115:L115 E120:L120 E125:L125 F255:G255 E171:L171 E176:L176 E181:L181 E186:L186 E191:L191 E196:L196 G226:J228 G28:K28 G151:J153 G155:J157 G81:J83 G85:J87 G222:J224 G33:K33 G36:K36 G40:K40 E135:L135 E145:L145 E201:L201 E206:L206 E211:L211 E216:L217" xr:uid="{1F99A3C2-A372-4B96-9863-E99B790D62CF}">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2 B262:B264" xr:uid="{D75B73E4-BF00-4A60-8CD4-86037F5FAC63}">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0B00433F-A138-4C7D-97A8-B7350F702A3E}">
      <formula1>1000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47" min="1" max="11" man="1"/>
    <brk id="88" min="1" max="11" man="1"/>
    <brk id="158" min="1" max="11" man="1"/>
    <brk id="229" min="1"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32</vt:i4>
      </vt:variant>
    </vt:vector>
  </HeadingPairs>
  <TitlesOfParts>
    <vt:vector size="55" baseType="lpstr">
      <vt:lpstr>Variables</vt:lpstr>
      <vt:lpstr>Intro</vt:lpstr>
      <vt:lpstr>Info</vt:lpstr>
      <vt:lpstr>Public</vt:lpstr>
      <vt:lpstr>AddPub</vt:lpstr>
      <vt:lpstr>Pro</vt:lpstr>
      <vt:lpstr>Begin</vt:lpstr>
      <vt:lpstr>Imp-Aus</vt:lpstr>
      <vt:lpstr>Imp-Aus2</vt:lpstr>
      <vt:lpstr>Imp-Aus3</vt:lpstr>
      <vt:lpstr>End</vt:lpstr>
      <vt:lpstr>Imp-Mex</vt:lpstr>
      <vt:lpstr>Imp-US</vt:lpstr>
      <vt:lpstr>Imp-Other -Autre</vt:lpstr>
      <vt:lpstr>Other Measures|Autre Mesures</vt:lpstr>
      <vt:lpstr>End2</vt:lpstr>
      <vt:lpstr>Invent-Stock</vt:lpstr>
      <vt:lpstr>AddPro</vt:lpstr>
      <vt:lpstr>Confirm</vt:lpstr>
      <vt:lpstr>MiniDB1</vt:lpstr>
      <vt:lpstr>MiniDB2</vt:lpstr>
      <vt:lpstr>QualDB</vt:lpstr>
      <vt:lpstr>m</vt:lpstr>
      <vt:lpstr>AddPro!Print_Area</vt:lpstr>
      <vt:lpstr>AddPub!Print_Area</vt:lpstr>
      <vt:lpstr>Confirm!Print_Area</vt:lpstr>
      <vt:lpstr>'Imp-Aus'!Print_Area</vt:lpstr>
      <vt:lpstr>'Imp-Aus2'!Print_Area</vt:lpstr>
      <vt:lpstr>'Imp-Aus3'!Print_Area</vt:lpstr>
      <vt:lpstr>'Imp-Mex'!Print_Area</vt:lpstr>
      <vt:lpstr>'Imp-Other -Autre'!Print_Area</vt:lpstr>
      <vt:lpstr>'Imp-US'!Print_Area</vt:lpstr>
      <vt:lpstr>Info!Print_Area</vt:lpstr>
      <vt:lpstr>Intro!Print_Area</vt:lpstr>
      <vt:lpstr>'Invent-Stock'!Print_Area</vt:lpstr>
      <vt:lpstr>m!Print_Area</vt:lpstr>
      <vt:lpstr>'Other Measures|Autre Mesures'!Print_Area</vt:lpstr>
      <vt:lpstr>Pro!Print_Area</vt:lpstr>
      <vt:lpstr>Public!Print_Area</vt:lpstr>
      <vt:lpstr>AddPro!Print_Titles</vt:lpstr>
      <vt:lpstr>AddPub!Print_Titles</vt:lpstr>
      <vt:lpstr>Confirm!Print_Titles</vt:lpstr>
      <vt:lpstr>'Imp-Aus'!Print_Titles</vt:lpstr>
      <vt:lpstr>'Imp-Aus2'!Print_Titles</vt:lpstr>
      <vt:lpstr>'Imp-Aus3'!Print_Titles</vt:lpstr>
      <vt:lpstr>'Imp-Mex'!Print_Titles</vt:lpstr>
      <vt:lpstr>'Imp-Other -Autre'!Print_Titles</vt:lpstr>
      <vt:lpstr>'Imp-US'!Print_Titles</vt:lpstr>
      <vt:lpstr>Info!Print_Titles</vt:lpstr>
      <vt:lpstr>Intro!Print_Titles</vt:lpstr>
      <vt:lpstr>'Invent-Stock'!Print_Titles</vt:lpstr>
      <vt:lpstr>m!Print_Titles</vt:lpstr>
      <vt:lpstr>'Other Measures|Autre Mesures'!Print_Titles</vt:lpstr>
      <vt:lpstr>Pro!Print_Titles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Heintzman, Rhonda</cp:lastModifiedBy>
  <cp:lastPrinted>2026-03-30T12:24:39Z</cp:lastPrinted>
  <dcterms:created xsi:type="dcterms:W3CDTF">2021-02-04T13:13:50Z</dcterms:created>
  <dcterms:modified xsi:type="dcterms:W3CDTF">2026-05-04T09:24:15Z</dcterms:modified>
</cp:coreProperties>
</file>